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31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133" i="1" l="1"/>
  <c r="F127" i="1"/>
  <c r="E38" i="1" l="1"/>
  <c r="E16" i="1"/>
  <c r="F143" i="1" l="1"/>
  <c r="F142" i="1"/>
  <c r="H111" i="1"/>
  <c r="F32" i="1"/>
  <c r="F53" i="1" l="1"/>
  <c r="F165" i="1"/>
  <c r="H148" i="1"/>
  <c r="H93" i="1"/>
  <c r="H92" i="1"/>
  <c r="H91" i="1"/>
  <c r="G141" i="1"/>
  <c r="G139" i="1"/>
  <c r="F132" i="1"/>
  <c r="F131" i="1"/>
  <c r="F130" i="1"/>
  <c r="F129" i="1"/>
  <c r="F128" i="1"/>
  <c r="F126" i="1"/>
  <c r="F125" i="1"/>
  <c r="G125" i="1" s="1"/>
  <c r="H94" i="1" l="1"/>
  <c r="H95" i="1" s="1"/>
  <c r="H96" i="1" s="1"/>
  <c r="H144" i="1"/>
  <c r="G131" i="1"/>
  <c r="G127" i="1"/>
  <c r="G129" i="1"/>
  <c r="G133" i="1"/>
  <c r="F115" i="1"/>
  <c r="G100" i="1"/>
  <c r="F103" i="1" s="1"/>
  <c r="G103" i="1" s="1"/>
  <c r="F104" i="1" s="1"/>
  <c r="H134" i="1" l="1"/>
  <c r="G82" i="1"/>
  <c r="G81" i="1"/>
  <c r="G80" i="1"/>
  <c r="G79" i="1"/>
  <c r="G77" i="1"/>
  <c r="G78" i="1"/>
  <c r="G116" i="1" l="1"/>
  <c r="G117" i="1"/>
  <c r="G115" i="1"/>
  <c r="G105" i="1"/>
  <c r="F108" i="1" s="1"/>
  <c r="G108" i="1" s="1"/>
  <c r="F109" i="1" s="1"/>
  <c r="G109" i="1" s="1"/>
  <c r="G104" i="1"/>
  <c r="H82" i="1"/>
  <c r="H81" i="1"/>
  <c r="H80" i="1"/>
  <c r="H79" i="1"/>
  <c r="H78" i="1"/>
  <c r="H77" i="1"/>
  <c r="H64" i="1"/>
  <c r="H65" i="1"/>
  <c r="H66" i="1"/>
  <c r="H67" i="1"/>
  <c r="H68" i="1"/>
  <c r="H69" i="1"/>
  <c r="H70" i="1"/>
  <c r="H71" i="1"/>
  <c r="H63" i="1"/>
  <c r="G58" i="1"/>
  <c r="G57" i="1"/>
  <c r="G36" i="1"/>
  <c r="G35" i="1"/>
  <c r="G14" i="1"/>
  <c r="G13" i="1"/>
  <c r="H110" i="1" l="1"/>
  <c r="H118" i="1"/>
  <c r="H119" i="1" s="1"/>
  <c r="H83" i="1"/>
  <c r="H84" i="1" s="1"/>
  <c r="H85" i="1" s="1"/>
  <c r="H72" i="1"/>
  <c r="H73" i="1" s="1"/>
  <c r="H74" i="1" s="1"/>
  <c r="G15" i="1"/>
  <c r="G31" i="1" s="1"/>
  <c r="G37" i="1"/>
  <c r="G48" i="1" s="1"/>
  <c r="G32" i="1" l="1"/>
  <c r="H86" i="1"/>
  <c r="H87" i="1" s="1"/>
  <c r="G52" i="1"/>
  <c r="G22" i="1"/>
  <c r="G43" i="1"/>
  <c r="G51" i="1"/>
  <c r="F16" i="1"/>
  <c r="G16" i="1" s="1"/>
  <c r="G17" i="1" s="1"/>
  <c r="F18" i="1" s="1"/>
  <c r="G18" i="1" s="1"/>
  <c r="H18" i="1" s="1"/>
  <c r="G47" i="1"/>
  <c r="G44" i="1"/>
  <c r="F38" i="1"/>
  <c r="G38" i="1" s="1"/>
  <c r="G39" i="1" s="1"/>
  <c r="F40" i="1" s="1"/>
  <c r="G40" i="1" s="1"/>
  <c r="H40" i="1" s="1"/>
  <c r="G45" i="1"/>
  <c r="G49" i="1"/>
  <c r="G53" i="1"/>
  <c r="G46" i="1"/>
  <c r="G26" i="1"/>
  <c r="G23" i="1"/>
  <c r="G27" i="1"/>
  <c r="G24" i="1"/>
  <c r="G30" i="1"/>
  <c r="G21" i="1"/>
  <c r="G25" i="1"/>
  <c r="H57" i="1" l="1"/>
  <c r="H59" i="1" s="1"/>
  <c r="H151" i="1" s="1"/>
  <c r="F155" i="1" l="1"/>
  <c r="G155" i="1" s="1"/>
  <c r="H157" i="1" s="1"/>
  <c r="G165" i="1" l="1"/>
  <c r="H167" i="1" s="1"/>
  <c r="H171" i="1" s="1"/>
  <c r="G163" i="1"/>
  <c r="G161" i="1"/>
  <c r="G164" i="1"/>
  <c r="G162" i="1"/>
</calcChain>
</file>

<file path=xl/sharedStrings.xml><?xml version="1.0" encoding="utf-8"?>
<sst xmlns="http://schemas.openxmlformats.org/spreadsheetml/2006/main" count="293" uniqueCount="140">
  <si>
    <t>PLANILHA DE CUSTOS SERVIÇO DE COLETA SELETIVA DE LIXO ORGÂNICO E RECICLÁVEL</t>
  </si>
  <si>
    <t>1 - MÃO DE OBRA</t>
  </si>
  <si>
    <t>Descrição</t>
  </si>
  <si>
    <t>Unidade</t>
  </si>
  <si>
    <t>Média dos dias de trabalho</t>
  </si>
  <si>
    <t>Coletores</t>
  </si>
  <si>
    <t>Motorista</t>
  </si>
  <si>
    <t>Função</t>
  </si>
  <si>
    <t>Total</t>
  </si>
  <si>
    <t>Encargos Sociais</t>
  </si>
  <si>
    <t>INSS</t>
  </si>
  <si>
    <t>FGTS</t>
  </si>
  <si>
    <t>FGTS/Provisão de multa rescisão</t>
  </si>
  <si>
    <t>SAT/RAT até</t>
  </si>
  <si>
    <t>Sindicato</t>
  </si>
  <si>
    <t>INCRA/SEST/SEBRAE/SENAT</t>
  </si>
  <si>
    <t>Encargos Trabalhistas</t>
  </si>
  <si>
    <t>Décimo Terceiro</t>
  </si>
  <si>
    <t>Férias</t>
  </si>
  <si>
    <t>Total Efetivo</t>
  </si>
  <si>
    <t>Subtotal</t>
  </si>
  <si>
    <t xml:space="preserve">Coletores </t>
  </si>
  <si>
    <t xml:space="preserve">Unidade </t>
  </si>
  <si>
    <t>Jaqueta com Reflexivo</t>
  </si>
  <si>
    <t>Calça</t>
  </si>
  <si>
    <t>Camiseta</t>
  </si>
  <si>
    <t>Boné</t>
  </si>
  <si>
    <t>Botina de Segurança c/ palmilha aço</t>
  </si>
  <si>
    <t>Capa de chuva amarela com reflexivo</t>
  </si>
  <si>
    <t>Colete com reflexivo</t>
  </si>
  <si>
    <t>luva de Proteção</t>
  </si>
  <si>
    <t>Protetor Solar FPS 30</t>
  </si>
  <si>
    <t>Valor 
Total</t>
  </si>
  <si>
    <t>%</t>
  </si>
  <si>
    <t>mês</t>
  </si>
  <si>
    <t>Insalubridade</t>
  </si>
  <si>
    <t>Soma</t>
  </si>
  <si>
    <t>Total do Efetivo</t>
  </si>
  <si>
    <t>Total por Coletor</t>
  </si>
  <si>
    <t>Auxilio Alimentação</t>
  </si>
  <si>
    <t>Coletor</t>
  </si>
  <si>
    <t xml:space="preserve">unid </t>
  </si>
  <si>
    <t>unid</t>
  </si>
  <si>
    <t>Salário Educação</t>
  </si>
  <si>
    <t>Valor
Unitário</t>
  </si>
  <si>
    <t>Impostos e Seguros</t>
  </si>
  <si>
    <t xml:space="preserve">IPVA </t>
  </si>
  <si>
    <t>Unid</t>
  </si>
  <si>
    <t>Total Custo Mensal com Veículo</t>
  </si>
  <si>
    <t>Valor</t>
  </si>
  <si>
    <t>Consumo</t>
  </si>
  <si>
    <t>Custo de óleo diesel / km rodado</t>
  </si>
  <si>
    <t>km/l</t>
  </si>
  <si>
    <t xml:space="preserve">Custo mensal com óleo diesel </t>
  </si>
  <si>
    <t xml:space="preserve">km </t>
  </si>
  <si>
    <t>l/1.000 km</t>
  </si>
  <si>
    <t>Custo mensal com arla</t>
  </si>
  <si>
    <t>km</t>
  </si>
  <si>
    <t>Custo com consumos / km rodado</t>
  </si>
  <si>
    <t>Custo do jogo de pneus</t>
  </si>
  <si>
    <t>Discriminação</t>
  </si>
  <si>
    <t>Valor total</t>
  </si>
  <si>
    <t>Aterro</t>
  </si>
  <si>
    <t>Vida útil do chassis</t>
  </si>
  <si>
    <t>anos</t>
  </si>
  <si>
    <t>Depreciação do chassis</t>
  </si>
  <si>
    <t>Idade do veículo</t>
  </si>
  <si>
    <t>fator de utilização</t>
  </si>
  <si>
    <t>Total da frota</t>
  </si>
  <si>
    <t>Número de recapagens por pneu</t>
  </si>
  <si>
    <t>Custo de recapagem</t>
  </si>
  <si>
    <t>km/jogo</t>
  </si>
  <si>
    <t>Custo mensal com pneus</t>
  </si>
  <si>
    <t>Qtde</t>
  </si>
  <si>
    <t>Funcion.</t>
  </si>
  <si>
    <t>km mensal dos roteiros de coleta</t>
  </si>
  <si>
    <t xml:space="preserve">Funcion. </t>
  </si>
  <si>
    <t>Durabil.
(meses)</t>
  </si>
  <si>
    <t>Qtde 
anual cada</t>
  </si>
  <si>
    <t>Total para 2 coletores</t>
  </si>
  <si>
    <t>par</t>
  </si>
  <si>
    <t>120 g</t>
  </si>
  <si>
    <t>Total para 1 motorista</t>
  </si>
  <si>
    <t>Custo Aquisição Chassis Compactador</t>
  </si>
  <si>
    <t>Depreciação mensal veículos</t>
  </si>
  <si>
    <t>Custo Aquisição Compactador</t>
  </si>
  <si>
    <t>Valor Total</t>
  </si>
  <si>
    <t>Ton</t>
  </si>
  <si>
    <t>Jaqueta com Reflexivo (nbr 15.292)</t>
  </si>
  <si>
    <t>Valor Total Mensal</t>
  </si>
  <si>
    <t>Seguro Obrigatório e Licenciamento</t>
  </si>
  <si>
    <t>Seguro contra terceiros</t>
  </si>
  <si>
    <t>Contratação de empresa especializada 
para a execução de coleta seletiva de resíduos orgânicos e reciclável e sua correta destinação final, provenientes dos geradores da área do Município de Renascença/PR. (sendo de no mínimo 3 (três) coletas seletivas porta a porta por semana de resíduos orgânicos e 1 (um) coleta seletiva porta a porta de resíduos recicláveis).</t>
  </si>
  <si>
    <t>Caminhão</t>
  </si>
  <si>
    <t>Custo mensal com óleo do motor</t>
  </si>
  <si>
    <t xml:space="preserve">Custo de óleo de transmissão /1.000 km </t>
  </si>
  <si>
    <t>Custo mensal com óleo da trasmissão</t>
  </si>
  <si>
    <t>Custo mensal óleo hidráulico /1.000 km</t>
  </si>
  <si>
    <t>Custo mensal com óleo hidráulico</t>
  </si>
  <si>
    <t>Custo de arla / 1.000 km</t>
  </si>
  <si>
    <t>Custo de óleo do motor /10.000 km</t>
  </si>
  <si>
    <t>l/10.000 km</t>
  </si>
  <si>
    <t>l/200.000 km</t>
  </si>
  <si>
    <t>l/160.000 km</t>
  </si>
  <si>
    <t>Custo jogo pneu novo / km rodado</t>
  </si>
  <si>
    <t>Custo jogo recapagem / km rodado</t>
  </si>
  <si>
    <t>Recipiente térmico para água (5 L)</t>
  </si>
  <si>
    <t>Pá de Concha</t>
  </si>
  <si>
    <t>Vassoura</t>
  </si>
  <si>
    <t>Soma Total dos Uniformes e Equipamentos para Motorista e Coletor (R$/mês)</t>
  </si>
  <si>
    <t>Custo Mensal com Ferramentas e Materiais de Consumo (R$/mês)</t>
  </si>
  <si>
    <t>Quilometragem mensal</t>
  </si>
  <si>
    <t>CUSTO TOTAL MENSAL COM DESPESAS + DESTINAÇÃO FINAL (R$/MÊS)</t>
  </si>
  <si>
    <t>Administração Geral</t>
  </si>
  <si>
    <t>Confins</t>
  </si>
  <si>
    <t>PIS/PASEP</t>
  </si>
  <si>
    <t>ISS</t>
  </si>
  <si>
    <t>lucro proposto pelo Município</t>
  </si>
  <si>
    <t>TOTAL</t>
  </si>
  <si>
    <t>TOTAL IMPOSTOS BDI</t>
  </si>
  <si>
    <t>PREÇO MENSAL TOTAL (R$/MÊS)</t>
  </si>
  <si>
    <t>QUANTIDADE MÉDIA DE RESÍDUOS COLETADOS POR MÊS:</t>
  </si>
  <si>
    <t>TONELADAS</t>
  </si>
  <si>
    <t>PREÇO POR TONELADA COLETADA: (R$/TONELADA)</t>
  </si>
  <si>
    <t>Resíduos a coletar (toneladas)</t>
  </si>
  <si>
    <t>ANEXO I</t>
  </si>
  <si>
    <t>Fator Utilização</t>
  </si>
  <si>
    <t>Custo  Unitário</t>
  </si>
  <si>
    <t>Custo Unitário</t>
  </si>
  <si>
    <t xml:space="preserve">Custo Unitário </t>
  </si>
  <si>
    <t>Valor Unitário</t>
  </si>
  <si>
    <t>Custo unitário</t>
  </si>
  <si>
    <t>2 - UNIFORMES E EQUIPAMENTOS PARA MOTORISTA E COLETORES</t>
  </si>
  <si>
    <t>3 - FERRAMENTAS E MATERIAIS DE CONSUMO</t>
  </si>
  <si>
    <t>4 - EQUIPAMENTOS</t>
  </si>
  <si>
    <t>5 - Materiais de Consumo</t>
  </si>
  <si>
    <t>6 - Pneus</t>
  </si>
  <si>
    <t>7 - Destinação final (aterro)</t>
  </si>
  <si>
    <t>8 - Lucratividade</t>
  </si>
  <si>
    <t>9 - Composição do BDI - Despeas Indiretas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</si>
</sst>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/>
    <xf numFmtId="44" fontId="0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0" fontId="0" fillId="0" borderId="0" xfId="0" applyFill="1" applyBorder="1"/>
    <xf numFmtId="0" fontId="1" fillId="0" borderId="0" xfId="0" applyFont="1"/>
    <xf numFmtId="0" fontId="0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/>
    </xf>
    <xf numFmtId="4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44" fontId="1" fillId="0" borderId="16" xfId="0" applyNumberFormat="1" applyFont="1" applyBorder="1" applyAlignment="1">
      <alignment horizontal="center"/>
    </xf>
    <xf numFmtId="44" fontId="1" fillId="0" borderId="16" xfId="0" applyNumberFormat="1" applyFont="1" applyBorder="1"/>
    <xf numFmtId="44" fontId="1" fillId="0" borderId="16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4" fontId="0" fillId="0" borderId="1" xfId="0" applyNumberFormat="1" applyBorder="1"/>
    <xf numFmtId="3" fontId="0" fillId="0" borderId="1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44" fontId="1" fillId="0" borderId="13" xfId="0" applyNumberFormat="1" applyFont="1" applyBorder="1"/>
    <xf numFmtId="0" fontId="0" fillId="0" borderId="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44" fontId="1" fillId="0" borderId="1" xfId="0" applyNumberFormat="1" applyFon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topLeftCell="A124" zoomScaleNormal="100" workbookViewId="0">
      <selection activeCell="F143" sqref="F143"/>
    </sheetView>
  </sheetViews>
  <sheetFormatPr defaultRowHeight="15" x14ac:dyDescent="0.25"/>
  <cols>
    <col min="1" max="1" width="9.5703125" customWidth="1"/>
    <col min="2" max="2" width="10" customWidth="1"/>
    <col min="3" max="3" width="16.140625" customWidth="1"/>
    <col min="4" max="4" width="12.140625" bestFit="1" customWidth="1"/>
    <col min="5" max="5" width="9.28515625" bestFit="1" customWidth="1"/>
    <col min="6" max="6" width="14.28515625" customWidth="1"/>
    <col min="7" max="7" width="14.28515625" bestFit="1" customWidth="1"/>
    <col min="8" max="8" width="13.28515625" bestFit="1" customWidth="1"/>
  </cols>
  <sheetData>
    <row r="1" spans="1:10" x14ac:dyDescent="0.25">
      <c r="A1" s="132" t="s">
        <v>125</v>
      </c>
      <c r="B1" s="132"/>
      <c r="C1" s="132"/>
      <c r="D1" s="132"/>
      <c r="E1" s="132"/>
      <c r="F1" s="132"/>
      <c r="G1" s="132"/>
      <c r="H1" s="132"/>
    </row>
    <row r="2" spans="1:10" ht="15.75" thickBot="1" x14ac:dyDescent="0.3">
      <c r="A2" s="132"/>
      <c r="B2" s="132"/>
      <c r="C2" s="132"/>
      <c r="D2" s="132"/>
      <c r="E2" s="132"/>
      <c r="F2" s="132"/>
      <c r="G2" s="132"/>
      <c r="H2" s="132"/>
    </row>
    <row r="3" spans="1:10" ht="15.75" thickBot="1" x14ac:dyDescent="0.3">
      <c r="A3" s="99" t="s">
        <v>0</v>
      </c>
      <c r="B3" s="100"/>
      <c r="C3" s="100"/>
      <c r="D3" s="100"/>
      <c r="E3" s="100"/>
      <c r="F3" s="100"/>
      <c r="G3" s="100"/>
      <c r="H3" s="101"/>
    </row>
    <row r="4" spans="1:10" ht="15" customHeight="1" x14ac:dyDescent="0.25">
      <c r="A4" s="110" t="s">
        <v>2</v>
      </c>
      <c r="B4" s="111"/>
      <c r="C4" s="111"/>
      <c r="D4" s="112"/>
      <c r="E4" s="3" t="s">
        <v>3</v>
      </c>
      <c r="F4" s="117" t="s">
        <v>92</v>
      </c>
      <c r="G4" s="117"/>
      <c r="H4" s="117"/>
    </row>
    <row r="5" spans="1:10" x14ac:dyDescent="0.25">
      <c r="A5" s="113" t="s">
        <v>4</v>
      </c>
      <c r="B5" s="114"/>
      <c r="C5" s="114"/>
      <c r="D5" s="115"/>
      <c r="E5" s="2">
        <v>16</v>
      </c>
      <c r="F5" s="118"/>
      <c r="G5" s="118"/>
      <c r="H5" s="118"/>
    </row>
    <row r="6" spans="1:10" x14ac:dyDescent="0.25">
      <c r="A6" s="113" t="s">
        <v>124</v>
      </c>
      <c r="B6" s="114"/>
      <c r="C6" s="114"/>
      <c r="D6" s="115"/>
      <c r="E6" s="2">
        <v>90</v>
      </c>
      <c r="F6" s="118"/>
      <c r="G6" s="118"/>
      <c r="H6" s="118"/>
    </row>
    <row r="7" spans="1:10" x14ac:dyDescent="0.25">
      <c r="A7" s="113" t="s">
        <v>75</v>
      </c>
      <c r="B7" s="114"/>
      <c r="C7" s="114"/>
      <c r="D7" s="115"/>
      <c r="E7" s="2">
        <v>800</v>
      </c>
      <c r="F7" s="118"/>
      <c r="G7" s="118"/>
      <c r="H7" s="118"/>
    </row>
    <row r="8" spans="1:10" x14ac:dyDescent="0.25">
      <c r="A8" s="113" t="s">
        <v>5</v>
      </c>
      <c r="B8" s="114"/>
      <c r="C8" s="114"/>
      <c r="D8" s="115"/>
      <c r="E8" s="2">
        <v>2</v>
      </c>
      <c r="F8" s="118"/>
      <c r="G8" s="118"/>
      <c r="H8" s="118"/>
    </row>
    <row r="9" spans="1:10" x14ac:dyDescent="0.25">
      <c r="A9" s="113" t="s">
        <v>6</v>
      </c>
      <c r="B9" s="114"/>
      <c r="C9" s="114"/>
      <c r="D9" s="115"/>
      <c r="E9" s="2">
        <v>1</v>
      </c>
      <c r="F9" s="118"/>
      <c r="G9" s="118"/>
      <c r="H9" s="118"/>
    </row>
    <row r="10" spans="1:10" ht="15.75" thickBot="1" x14ac:dyDescent="0.3">
      <c r="J10" s="57"/>
    </row>
    <row r="11" spans="1:10" ht="15.75" thickBot="1" x14ac:dyDescent="0.3">
      <c r="A11" s="102" t="s">
        <v>1</v>
      </c>
      <c r="B11" s="103"/>
      <c r="C11" s="103"/>
      <c r="D11" s="103"/>
      <c r="E11" s="103"/>
      <c r="F11" s="103"/>
      <c r="G11" s="103"/>
      <c r="H11" s="104"/>
    </row>
    <row r="12" spans="1:10" x14ac:dyDescent="0.25">
      <c r="A12" s="119" t="s">
        <v>7</v>
      </c>
      <c r="B12" s="120"/>
      <c r="C12" s="121"/>
      <c r="D12" s="3" t="s">
        <v>3</v>
      </c>
      <c r="E12" s="3" t="s">
        <v>73</v>
      </c>
      <c r="F12" s="31" t="s">
        <v>128</v>
      </c>
      <c r="G12" s="3" t="s">
        <v>20</v>
      </c>
      <c r="H12" s="3" t="s">
        <v>8</v>
      </c>
    </row>
    <row r="13" spans="1:10" x14ac:dyDescent="0.25">
      <c r="A13" s="108" t="s">
        <v>5</v>
      </c>
      <c r="B13" s="108"/>
      <c r="C13" s="108"/>
      <c r="D13" s="19" t="s">
        <v>34</v>
      </c>
      <c r="E13" s="19">
        <v>1</v>
      </c>
      <c r="F13" s="20">
        <v>1395</v>
      </c>
      <c r="G13" s="20">
        <f>F13*E13</f>
        <v>1395</v>
      </c>
      <c r="H13" s="7"/>
    </row>
    <row r="14" spans="1:10" x14ac:dyDescent="0.25">
      <c r="A14" s="108" t="s">
        <v>35</v>
      </c>
      <c r="B14" s="108"/>
      <c r="C14" s="108"/>
      <c r="D14" s="19" t="s">
        <v>33</v>
      </c>
      <c r="E14" s="19">
        <v>40</v>
      </c>
      <c r="F14" s="20">
        <v>1212</v>
      </c>
      <c r="G14" s="20">
        <f>F14*0.4</f>
        <v>484.8</v>
      </c>
      <c r="H14" s="7"/>
    </row>
    <row r="15" spans="1:10" x14ac:dyDescent="0.25">
      <c r="A15" s="109" t="s">
        <v>36</v>
      </c>
      <c r="B15" s="109"/>
      <c r="C15" s="109"/>
      <c r="D15" s="6"/>
      <c r="E15" s="6"/>
      <c r="F15" s="6"/>
      <c r="G15" s="21">
        <f>SUM(G13:G14)</f>
        <v>1879.8</v>
      </c>
      <c r="H15" s="7"/>
    </row>
    <row r="16" spans="1:10" x14ac:dyDescent="0.25">
      <c r="A16" s="108" t="s">
        <v>9</v>
      </c>
      <c r="B16" s="108"/>
      <c r="C16" s="108"/>
      <c r="D16" s="19" t="s">
        <v>33</v>
      </c>
      <c r="E16" s="22">
        <f>F32</f>
        <v>60.44</v>
      </c>
      <c r="F16" s="20">
        <f>G15</f>
        <v>1879.8</v>
      </c>
      <c r="G16" s="20">
        <f>F16*(E16/100)</f>
        <v>1136.1511199999998</v>
      </c>
      <c r="H16" s="7"/>
    </row>
    <row r="17" spans="1:8" x14ac:dyDescent="0.25">
      <c r="A17" s="109" t="s">
        <v>38</v>
      </c>
      <c r="B17" s="109"/>
      <c r="C17" s="109"/>
      <c r="D17" s="6"/>
      <c r="E17" s="6"/>
      <c r="F17" s="6"/>
      <c r="G17" s="21">
        <f>SUM(G15:G16)</f>
        <v>3015.9511199999997</v>
      </c>
      <c r="H17" s="7"/>
    </row>
    <row r="18" spans="1:8" x14ac:dyDescent="0.25">
      <c r="A18" s="109" t="s">
        <v>37</v>
      </c>
      <c r="B18" s="109"/>
      <c r="C18" s="109"/>
      <c r="D18" s="19" t="s">
        <v>74</v>
      </c>
      <c r="E18" s="19">
        <v>2</v>
      </c>
      <c r="F18" s="20">
        <f>G17</f>
        <v>3015.9511199999997</v>
      </c>
      <c r="G18" s="42">
        <f>F18*E18</f>
        <v>6031.9022399999994</v>
      </c>
      <c r="H18" s="21">
        <f>G18</f>
        <v>6031.9022399999994</v>
      </c>
    </row>
    <row r="19" spans="1:8" ht="15.75" thickBot="1" x14ac:dyDescent="0.3">
      <c r="A19" s="16"/>
      <c r="B19" s="16"/>
      <c r="C19" s="16"/>
      <c r="D19" s="10"/>
      <c r="E19" s="8"/>
      <c r="F19" s="10"/>
      <c r="G19" s="10"/>
      <c r="H19" s="7"/>
    </row>
    <row r="20" spans="1:8" ht="15.75" thickBot="1" x14ac:dyDescent="0.3">
      <c r="A20" s="102" t="s">
        <v>9</v>
      </c>
      <c r="B20" s="103"/>
      <c r="C20" s="103"/>
      <c r="D20" s="103"/>
      <c r="E20" s="103"/>
      <c r="F20" s="103"/>
      <c r="G20" s="103"/>
      <c r="H20" s="104"/>
    </row>
    <row r="21" spans="1:8" x14ac:dyDescent="0.25">
      <c r="A21" s="116" t="s">
        <v>10</v>
      </c>
      <c r="B21" s="116"/>
      <c r="C21" s="116"/>
      <c r="D21" s="116"/>
      <c r="E21" s="23" t="s">
        <v>33</v>
      </c>
      <c r="F21" s="30">
        <v>20</v>
      </c>
      <c r="G21" s="30">
        <f>G15*(F21/100)</f>
        <v>375.96000000000004</v>
      </c>
    </row>
    <row r="22" spans="1:8" x14ac:dyDescent="0.25">
      <c r="A22" s="105" t="s">
        <v>11</v>
      </c>
      <c r="B22" s="105"/>
      <c r="C22" s="105"/>
      <c r="D22" s="105"/>
      <c r="E22" s="24" t="s">
        <v>33</v>
      </c>
      <c r="F22" s="25">
        <v>8</v>
      </c>
      <c r="G22" s="25">
        <f>G15*(F22/100)</f>
        <v>150.38399999999999</v>
      </c>
    </row>
    <row r="23" spans="1:8" x14ac:dyDescent="0.25">
      <c r="A23" s="105" t="s">
        <v>12</v>
      </c>
      <c r="B23" s="105"/>
      <c r="C23" s="105"/>
      <c r="D23" s="105"/>
      <c r="E23" s="24" t="s">
        <v>33</v>
      </c>
      <c r="F23" s="25">
        <v>3.2</v>
      </c>
      <c r="G23" s="25">
        <f>G15*(F23/100)</f>
        <v>60.153599999999997</v>
      </c>
    </row>
    <row r="24" spans="1:8" x14ac:dyDescent="0.25">
      <c r="A24" s="105" t="s">
        <v>13</v>
      </c>
      <c r="B24" s="105"/>
      <c r="C24" s="105"/>
      <c r="D24" s="105"/>
      <c r="E24" s="24" t="s">
        <v>33</v>
      </c>
      <c r="F24" s="25">
        <v>3</v>
      </c>
      <c r="G24" s="25">
        <f>G15*(F24/100)</f>
        <v>56.393999999999998</v>
      </c>
    </row>
    <row r="25" spans="1:8" x14ac:dyDescent="0.25">
      <c r="A25" s="105" t="s">
        <v>43</v>
      </c>
      <c r="B25" s="105"/>
      <c r="C25" s="105"/>
      <c r="D25" s="105"/>
      <c r="E25" s="24" t="s">
        <v>33</v>
      </c>
      <c r="F25" s="25">
        <v>2.5</v>
      </c>
      <c r="G25" s="25">
        <f>G15*(F25/100)</f>
        <v>46.995000000000005</v>
      </c>
    </row>
    <row r="26" spans="1:8" x14ac:dyDescent="0.25">
      <c r="A26" s="105" t="s">
        <v>14</v>
      </c>
      <c r="B26" s="105"/>
      <c r="C26" s="105"/>
      <c r="D26" s="105"/>
      <c r="E26" s="24" t="s">
        <v>33</v>
      </c>
      <c r="F26" s="25">
        <v>1</v>
      </c>
      <c r="G26" s="25">
        <f>G15*(F26/100)</f>
        <v>18.797999999999998</v>
      </c>
    </row>
    <row r="27" spans="1:8" x14ac:dyDescent="0.25">
      <c r="A27" s="105" t="s">
        <v>15</v>
      </c>
      <c r="B27" s="105"/>
      <c r="C27" s="105"/>
      <c r="D27" s="105"/>
      <c r="E27" s="24" t="s">
        <v>33</v>
      </c>
      <c r="F27" s="25">
        <v>3.3</v>
      </c>
      <c r="G27" s="25">
        <f>G15*(F27/100)</f>
        <v>62.0334</v>
      </c>
    </row>
    <row r="28" spans="1:8" ht="15.75" thickBot="1" x14ac:dyDescent="0.3">
      <c r="A28" s="58"/>
      <c r="B28" s="58"/>
      <c r="C28" s="58"/>
      <c r="D28" s="58"/>
      <c r="E28" s="59"/>
      <c r="F28" s="60"/>
      <c r="G28" s="60"/>
    </row>
    <row r="29" spans="1:8" ht="15.75" thickBot="1" x14ac:dyDescent="0.3">
      <c r="A29" s="102" t="s">
        <v>16</v>
      </c>
      <c r="B29" s="103"/>
      <c r="C29" s="103"/>
      <c r="D29" s="103"/>
      <c r="E29" s="103"/>
      <c r="F29" s="103"/>
      <c r="G29" s="103"/>
      <c r="H29" s="104"/>
    </row>
    <row r="30" spans="1:8" x14ac:dyDescent="0.25">
      <c r="A30" s="98" t="s">
        <v>17</v>
      </c>
      <c r="B30" s="98"/>
      <c r="C30" s="98"/>
      <c r="D30" s="98"/>
      <c r="E30" s="26" t="s">
        <v>33</v>
      </c>
      <c r="F30" s="15">
        <v>8.33</v>
      </c>
      <c r="G30" s="29">
        <f>G15*(F30/100)</f>
        <v>156.58733999999998</v>
      </c>
    </row>
    <row r="31" spans="1:8" x14ac:dyDescent="0.25">
      <c r="A31" s="106" t="s">
        <v>18</v>
      </c>
      <c r="B31" s="106"/>
      <c r="C31" s="106"/>
      <c r="D31" s="106"/>
      <c r="E31" s="27" t="s">
        <v>33</v>
      </c>
      <c r="F31" s="2">
        <v>11.11</v>
      </c>
      <c r="G31" s="28">
        <f>G15*(F31/100)</f>
        <v>208.84577999999999</v>
      </c>
    </row>
    <row r="32" spans="1:8" x14ac:dyDescent="0.25">
      <c r="A32" s="106" t="s">
        <v>19</v>
      </c>
      <c r="B32" s="106"/>
      <c r="C32" s="106"/>
      <c r="D32" s="106"/>
      <c r="E32" s="27" t="s">
        <v>33</v>
      </c>
      <c r="F32" s="28">
        <f>SUM(F21:F31)</f>
        <v>60.44</v>
      </c>
      <c r="G32" s="28">
        <f>G15*(F32/100)</f>
        <v>1136.1511199999998</v>
      </c>
    </row>
    <row r="33" spans="1:8" x14ac:dyDescent="0.25">
      <c r="A33" s="4"/>
      <c r="B33" s="11"/>
      <c r="D33" s="9"/>
    </row>
    <row r="34" spans="1:8" x14ac:dyDescent="0.25">
      <c r="A34" s="107" t="s">
        <v>7</v>
      </c>
      <c r="B34" s="107"/>
      <c r="C34" s="107"/>
      <c r="D34" s="17" t="s">
        <v>3</v>
      </c>
      <c r="E34" s="17" t="s">
        <v>73</v>
      </c>
      <c r="F34" s="18" t="s">
        <v>128</v>
      </c>
      <c r="G34" s="17" t="s">
        <v>20</v>
      </c>
      <c r="H34" s="17" t="s">
        <v>8</v>
      </c>
    </row>
    <row r="35" spans="1:8" x14ac:dyDescent="0.25">
      <c r="A35" s="108" t="s">
        <v>6</v>
      </c>
      <c r="B35" s="108"/>
      <c r="C35" s="108"/>
      <c r="D35" s="19" t="s">
        <v>34</v>
      </c>
      <c r="E35" s="19">
        <v>1</v>
      </c>
      <c r="F35" s="20">
        <v>2426.6999999999998</v>
      </c>
      <c r="G35" s="20">
        <f>F35*E35</f>
        <v>2426.6999999999998</v>
      </c>
      <c r="H35" s="7"/>
    </row>
    <row r="36" spans="1:8" x14ac:dyDescent="0.25">
      <c r="A36" s="108" t="s">
        <v>35</v>
      </c>
      <c r="B36" s="108"/>
      <c r="C36" s="108"/>
      <c r="D36" s="19" t="s">
        <v>33</v>
      </c>
      <c r="E36" s="19">
        <v>40</v>
      </c>
      <c r="F36" s="20">
        <v>1212</v>
      </c>
      <c r="G36" s="20">
        <f>F36*0.4</f>
        <v>484.8</v>
      </c>
      <c r="H36" s="7"/>
    </row>
    <row r="37" spans="1:8" x14ac:dyDescent="0.25">
      <c r="A37" s="109" t="s">
        <v>36</v>
      </c>
      <c r="B37" s="109"/>
      <c r="C37" s="109"/>
      <c r="D37" s="6"/>
      <c r="E37" s="6"/>
      <c r="F37" s="6"/>
      <c r="G37" s="21">
        <f>SUM(G35:G36)</f>
        <v>2911.5</v>
      </c>
      <c r="H37" s="7"/>
    </row>
    <row r="38" spans="1:8" x14ac:dyDescent="0.25">
      <c r="A38" s="108" t="s">
        <v>9</v>
      </c>
      <c r="B38" s="108"/>
      <c r="C38" s="108"/>
      <c r="D38" s="19" t="s">
        <v>33</v>
      </c>
      <c r="E38" s="22">
        <f>F53</f>
        <v>60.44</v>
      </c>
      <c r="F38" s="20">
        <f>G37</f>
        <v>2911.5</v>
      </c>
      <c r="G38" s="20">
        <f>F38*(E38/100)</f>
        <v>1759.7105999999999</v>
      </c>
      <c r="H38" s="7"/>
    </row>
    <row r="39" spans="1:8" x14ac:dyDescent="0.25">
      <c r="A39" s="109" t="s">
        <v>38</v>
      </c>
      <c r="B39" s="109"/>
      <c r="C39" s="109"/>
      <c r="D39" s="6"/>
      <c r="E39" s="6"/>
      <c r="F39" s="6"/>
      <c r="G39" s="21">
        <f>SUM(G37:G38)</f>
        <v>4671.2106000000003</v>
      </c>
      <c r="H39" s="7"/>
    </row>
    <row r="40" spans="1:8" x14ac:dyDescent="0.25">
      <c r="A40" s="109" t="s">
        <v>37</v>
      </c>
      <c r="B40" s="109"/>
      <c r="C40" s="109"/>
      <c r="D40" s="19" t="s">
        <v>76</v>
      </c>
      <c r="E40" s="19">
        <v>1</v>
      </c>
      <c r="F40" s="42">
        <f>G39</f>
        <v>4671.2106000000003</v>
      </c>
      <c r="G40" s="42">
        <f>F40*E40</f>
        <v>4671.2106000000003</v>
      </c>
      <c r="H40" s="21">
        <f>G40</f>
        <v>4671.2106000000003</v>
      </c>
    </row>
    <row r="41" spans="1:8" ht="15.75" thickBot="1" x14ac:dyDescent="0.3">
      <c r="A41" s="7"/>
      <c r="B41" s="7"/>
      <c r="C41" s="10"/>
      <c r="D41" s="10"/>
      <c r="E41" s="8"/>
      <c r="F41" s="10"/>
      <c r="G41" s="10"/>
    </row>
    <row r="42" spans="1:8" ht="15.75" thickBot="1" x14ac:dyDescent="0.3">
      <c r="A42" s="102" t="s">
        <v>9</v>
      </c>
      <c r="B42" s="103"/>
      <c r="C42" s="103"/>
      <c r="D42" s="103"/>
      <c r="E42" s="103"/>
      <c r="F42" s="103"/>
      <c r="G42" s="103"/>
      <c r="H42" s="104"/>
    </row>
    <row r="43" spans="1:8" x14ac:dyDescent="0.25">
      <c r="A43" s="98" t="s">
        <v>10</v>
      </c>
      <c r="B43" s="98"/>
      <c r="C43" s="98"/>
      <c r="D43" s="98"/>
      <c r="E43" s="32" t="s">
        <v>33</v>
      </c>
      <c r="F43" s="29">
        <v>20</v>
      </c>
      <c r="G43" s="29">
        <f>G37*(F43/100)</f>
        <v>582.30000000000007</v>
      </c>
    </row>
    <row r="44" spans="1:8" x14ac:dyDescent="0.25">
      <c r="A44" s="106" t="s">
        <v>11</v>
      </c>
      <c r="B44" s="106"/>
      <c r="C44" s="106"/>
      <c r="D44" s="106"/>
      <c r="E44" s="33" t="s">
        <v>33</v>
      </c>
      <c r="F44" s="28">
        <v>8</v>
      </c>
      <c r="G44" s="28">
        <f>G37*(F44/100)</f>
        <v>232.92000000000002</v>
      </c>
    </row>
    <row r="45" spans="1:8" x14ac:dyDescent="0.25">
      <c r="A45" s="106" t="s">
        <v>12</v>
      </c>
      <c r="B45" s="106"/>
      <c r="C45" s="106"/>
      <c r="D45" s="106"/>
      <c r="E45" s="33" t="s">
        <v>33</v>
      </c>
      <c r="F45" s="28">
        <v>3.2</v>
      </c>
      <c r="G45" s="28">
        <f>G37*(F45/100)</f>
        <v>93.168000000000006</v>
      </c>
    </row>
    <row r="46" spans="1:8" x14ac:dyDescent="0.25">
      <c r="A46" s="106" t="s">
        <v>13</v>
      </c>
      <c r="B46" s="106"/>
      <c r="C46" s="106"/>
      <c r="D46" s="106"/>
      <c r="E46" s="33" t="s">
        <v>33</v>
      </c>
      <c r="F46" s="28">
        <v>3</v>
      </c>
      <c r="G46" s="28">
        <f>G37*(F46/100)</f>
        <v>87.344999999999999</v>
      </c>
    </row>
    <row r="47" spans="1:8" x14ac:dyDescent="0.25">
      <c r="A47" s="106" t="s">
        <v>43</v>
      </c>
      <c r="B47" s="106"/>
      <c r="C47" s="106"/>
      <c r="D47" s="106"/>
      <c r="E47" s="33" t="s">
        <v>33</v>
      </c>
      <c r="F47" s="28">
        <v>2.5</v>
      </c>
      <c r="G47" s="28">
        <f>G37*(F47/100)</f>
        <v>72.787500000000009</v>
      </c>
    </row>
    <row r="48" spans="1:8" x14ac:dyDescent="0.25">
      <c r="A48" s="106" t="s">
        <v>14</v>
      </c>
      <c r="B48" s="106"/>
      <c r="C48" s="106"/>
      <c r="D48" s="106"/>
      <c r="E48" s="33" t="s">
        <v>33</v>
      </c>
      <c r="F48" s="28">
        <v>1</v>
      </c>
      <c r="G48" s="28">
        <f>G37*(F48/100)</f>
        <v>29.115000000000002</v>
      </c>
    </row>
    <row r="49" spans="1:11" ht="15.75" thickBot="1" x14ac:dyDescent="0.3">
      <c r="A49" s="106" t="s">
        <v>15</v>
      </c>
      <c r="B49" s="106"/>
      <c r="C49" s="106"/>
      <c r="D49" s="106"/>
      <c r="E49" s="33" t="s">
        <v>33</v>
      </c>
      <c r="F49" s="28">
        <v>3.3</v>
      </c>
      <c r="G49" s="28">
        <f>G37*(F49/100)</f>
        <v>96.07950000000001</v>
      </c>
    </row>
    <row r="50" spans="1:11" ht="15.75" thickBot="1" x14ac:dyDescent="0.3">
      <c r="A50" s="102" t="s">
        <v>16</v>
      </c>
      <c r="B50" s="103"/>
      <c r="C50" s="103"/>
      <c r="D50" s="103"/>
      <c r="E50" s="103"/>
      <c r="F50" s="103"/>
      <c r="G50" s="103"/>
      <c r="H50" s="104"/>
    </row>
    <row r="51" spans="1:11" x14ac:dyDescent="0.25">
      <c r="A51" s="98" t="s">
        <v>17</v>
      </c>
      <c r="B51" s="98"/>
      <c r="C51" s="98"/>
      <c r="D51" s="98"/>
      <c r="E51" s="26" t="s">
        <v>33</v>
      </c>
      <c r="F51" s="15">
        <v>8.33</v>
      </c>
      <c r="G51" s="29">
        <f>G37*(F51/100)</f>
        <v>242.52795</v>
      </c>
    </row>
    <row r="52" spans="1:11" x14ac:dyDescent="0.25">
      <c r="A52" s="106" t="s">
        <v>18</v>
      </c>
      <c r="B52" s="106"/>
      <c r="C52" s="106"/>
      <c r="D52" s="106"/>
      <c r="E52" s="27" t="s">
        <v>33</v>
      </c>
      <c r="F52" s="2">
        <v>11.11</v>
      </c>
      <c r="G52" s="28">
        <f>G37*(F52/100)</f>
        <v>323.46764999999999</v>
      </c>
      <c r="K52" s="9"/>
    </row>
    <row r="53" spans="1:11" x14ac:dyDescent="0.25">
      <c r="A53" s="106" t="s">
        <v>19</v>
      </c>
      <c r="B53" s="106"/>
      <c r="C53" s="106"/>
      <c r="D53" s="106"/>
      <c r="E53" s="27" t="s">
        <v>33</v>
      </c>
      <c r="F53" s="28">
        <f>F43+F44+F45+F46+F47+F48+F49+F51+F52</f>
        <v>60.44</v>
      </c>
      <c r="G53" s="28">
        <f>G37*(F53/100)</f>
        <v>1759.7105999999999</v>
      </c>
    </row>
    <row r="54" spans="1:11" ht="15.75" thickBot="1" x14ac:dyDescent="0.3">
      <c r="A54" s="7"/>
      <c r="B54" s="7"/>
      <c r="C54" s="10"/>
      <c r="D54" s="10"/>
      <c r="E54" s="8"/>
      <c r="F54" s="10"/>
      <c r="G54" s="10"/>
    </row>
    <row r="55" spans="1:11" ht="15.75" thickBot="1" x14ac:dyDescent="0.3">
      <c r="A55" s="102" t="s">
        <v>39</v>
      </c>
      <c r="B55" s="103"/>
      <c r="C55" s="103"/>
      <c r="D55" s="103"/>
      <c r="E55" s="103"/>
      <c r="F55" s="103"/>
      <c r="G55" s="103"/>
      <c r="H55" s="104"/>
    </row>
    <row r="56" spans="1:11" x14ac:dyDescent="0.25">
      <c r="A56" s="123" t="s">
        <v>7</v>
      </c>
      <c r="B56" s="123"/>
      <c r="C56" s="123"/>
      <c r="D56" s="38" t="s">
        <v>3</v>
      </c>
      <c r="E56" s="3" t="s">
        <v>73</v>
      </c>
      <c r="F56" s="31" t="s">
        <v>128</v>
      </c>
      <c r="G56" s="3" t="s">
        <v>20</v>
      </c>
      <c r="H56" s="50" t="s">
        <v>8</v>
      </c>
    </row>
    <row r="57" spans="1:11" x14ac:dyDescent="0.25">
      <c r="A57" s="122" t="s">
        <v>40</v>
      </c>
      <c r="B57" s="122"/>
      <c r="C57" s="122"/>
      <c r="D57" s="36" t="s">
        <v>41</v>
      </c>
      <c r="E57" s="2">
        <v>2</v>
      </c>
      <c r="F57" s="37">
        <v>450</v>
      </c>
      <c r="G57" s="49">
        <f>F57*E57</f>
        <v>900</v>
      </c>
      <c r="H57" s="124">
        <f>G58+G57+H40+H18</f>
        <v>11748.71284</v>
      </c>
    </row>
    <row r="58" spans="1:11" ht="15.75" thickBot="1" x14ac:dyDescent="0.3">
      <c r="A58" s="122" t="s">
        <v>6</v>
      </c>
      <c r="B58" s="122"/>
      <c r="C58" s="122"/>
      <c r="D58" s="36" t="s">
        <v>42</v>
      </c>
      <c r="E58" s="2">
        <v>1</v>
      </c>
      <c r="F58" s="37">
        <v>145.6</v>
      </c>
      <c r="G58" s="49">
        <f>F58*E58</f>
        <v>145.6</v>
      </c>
      <c r="H58" s="125"/>
    </row>
    <row r="59" spans="1:11" ht="15.75" thickBot="1" x14ac:dyDescent="0.3">
      <c r="A59" s="79"/>
      <c r="B59" s="79"/>
      <c r="C59" s="79"/>
      <c r="D59" s="35"/>
      <c r="E59" s="107" t="s">
        <v>126</v>
      </c>
      <c r="F59" s="107"/>
      <c r="G59" s="81">
        <v>1</v>
      </c>
      <c r="H59" s="54">
        <f>H57*G59</f>
        <v>11748.71284</v>
      </c>
    </row>
    <row r="60" spans="1:11" ht="15.75" thickBot="1" x14ac:dyDescent="0.3">
      <c r="A60" s="12"/>
      <c r="D60" s="35"/>
      <c r="E60" s="5"/>
      <c r="F60" s="5"/>
      <c r="G60" s="5"/>
    </row>
    <row r="61" spans="1:11" ht="15.75" thickBot="1" x14ac:dyDescent="0.3">
      <c r="A61" s="102" t="s">
        <v>132</v>
      </c>
      <c r="B61" s="103"/>
      <c r="C61" s="103"/>
      <c r="D61" s="103"/>
      <c r="E61" s="103"/>
      <c r="F61" s="103"/>
      <c r="G61" s="103"/>
      <c r="H61" s="104"/>
    </row>
    <row r="62" spans="1:11" ht="30" x14ac:dyDescent="0.25">
      <c r="A62" s="97" t="s">
        <v>21</v>
      </c>
      <c r="B62" s="97"/>
      <c r="C62" s="97"/>
      <c r="D62" s="92" t="s">
        <v>22</v>
      </c>
      <c r="E62" s="141" t="s">
        <v>77</v>
      </c>
      <c r="F62" s="141" t="s">
        <v>78</v>
      </c>
      <c r="G62" s="31" t="s">
        <v>44</v>
      </c>
      <c r="H62" s="31" t="s">
        <v>32</v>
      </c>
    </row>
    <row r="63" spans="1:11" x14ac:dyDescent="0.25">
      <c r="A63" s="105" t="s">
        <v>88</v>
      </c>
      <c r="B63" s="105"/>
      <c r="C63" s="105"/>
      <c r="D63" s="62" t="s">
        <v>42</v>
      </c>
      <c r="E63" s="62">
        <v>12</v>
      </c>
      <c r="F63" s="62">
        <v>1</v>
      </c>
      <c r="G63" s="63">
        <v>206.3</v>
      </c>
      <c r="H63" s="62">
        <f>G63*F63</f>
        <v>206.3</v>
      </c>
    </row>
    <row r="64" spans="1:11" x14ac:dyDescent="0.25">
      <c r="A64" s="105" t="s">
        <v>24</v>
      </c>
      <c r="B64" s="105"/>
      <c r="C64" s="105"/>
      <c r="D64" s="62" t="s">
        <v>42</v>
      </c>
      <c r="E64" s="62">
        <v>4</v>
      </c>
      <c r="F64" s="62">
        <v>3</v>
      </c>
      <c r="G64" s="63">
        <v>43.13</v>
      </c>
      <c r="H64" s="62">
        <f t="shared" ref="H64:H71" si="0">G64*F64</f>
        <v>129.39000000000001</v>
      </c>
    </row>
    <row r="65" spans="1:8" x14ac:dyDescent="0.25">
      <c r="A65" s="105" t="s">
        <v>25</v>
      </c>
      <c r="B65" s="105"/>
      <c r="C65" s="105"/>
      <c r="D65" s="62" t="s">
        <v>42</v>
      </c>
      <c r="E65" s="62">
        <v>2</v>
      </c>
      <c r="F65" s="62">
        <v>6</v>
      </c>
      <c r="G65" s="63">
        <v>18.13</v>
      </c>
      <c r="H65" s="62">
        <f t="shared" si="0"/>
        <v>108.78</v>
      </c>
    </row>
    <row r="66" spans="1:8" x14ac:dyDescent="0.25">
      <c r="A66" s="105" t="s">
        <v>26</v>
      </c>
      <c r="B66" s="105"/>
      <c r="C66" s="105"/>
      <c r="D66" s="62" t="s">
        <v>42</v>
      </c>
      <c r="E66" s="62">
        <v>4</v>
      </c>
      <c r="F66" s="62">
        <v>3</v>
      </c>
      <c r="G66" s="63">
        <v>11.73</v>
      </c>
      <c r="H66" s="62">
        <f t="shared" si="0"/>
        <v>35.19</v>
      </c>
    </row>
    <row r="67" spans="1:8" x14ac:dyDescent="0.25">
      <c r="A67" s="105" t="s">
        <v>27</v>
      </c>
      <c r="B67" s="105"/>
      <c r="C67" s="105"/>
      <c r="D67" s="62" t="s">
        <v>80</v>
      </c>
      <c r="E67" s="62">
        <v>6</v>
      </c>
      <c r="F67" s="62">
        <v>2</v>
      </c>
      <c r="G67" s="63">
        <v>45.19</v>
      </c>
      <c r="H67" s="62">
        <f t="shared" si="0"/>
        <v>90.38</v>
      </c>
    </row>
    <row r="68" spans="1:8" x14ac:dyDescent="0.25">
      <c r="A68" s="105" t="s">
        <v>28</v>
      </c>
      <c r="B68" s="105"/>
      <c r="C68" s="105"/>
      <c r="D68" s="62" t="s">
        <v>42</v>
      </c>
      <c r="E68" s="62">
        <v>6</v>
      </c>
      <c r="F68" s="62">
        <v>2</v>
      </c>
      <c r="G68" s="63">
        <v>19.600000000000001</v>
      </c>
      <c r="H68" s="62">
        <f t="shared" si="0"/>
        <v>39.200000000000003</v>
      </c>
    </row>
    <row r="69" spans="1:8" x14ac:dyDescent="0.25">
      <c r="A69" s="105" t="s">
        <v>29</v>
      </c>
      <c r="B69" s="105"/>
      <c r="C69" s="105"/>
      <c r="D69" s="62" t="s">
        <v>42</v>
      </c>
      <c r="E69" s="62">
        <v>6</v>
      </c>
      <c r="F69" s="62">
        <v>2</v>
      </c>
      <c r="G69" s="63">
        <v>44.67</v>
      </c>
      <c r="H69" s="62">
        <f t="shared" si="0"/>
        <v>89.34</v>
      </c>
    </row>
    <row r="70" spans="1:8" x14ac:dyDescent="0.25">
      <c r="A70" s="105" t="s">
        <v>30</v>
      </c>
      <c r="B70" s="105"/>
      <c r="C70" s="105"/>
      <c r="D70" s="62" t="s">
        <v>80</v>
      </c>
      <c r="E70" s="62">
        <v>2</v>
      </c>
      <c r="F70" s="62">
        <v>6</v>
      </c>
      <c r="G70" s="63">
        <v>17.68</v>
      </c>
      <c r="H70" s="62">
        <f t="shared" si="0"/>
        <v>106.08</v>
      </c>
    </row>
    <row r="71" spans="1:8" x14ac:dyDescent="0.25">
      <c r="A71" s="105" t="s">
        <v>31</v>
      </c>
      <c r="B71" s="105"/>
      <c r="C71" s="105"/>
      <c r="D71" s="62" t="s">
        <v>81</v>
      </c>
      <c r="E71" s="62">
        <v>4</v>
      </c>
      <c r="F71" s="62">
        <v>3</v>
      </c>
      <c r="G71" s="63">
        <v>15.56</v>
      </c>
      <c r="H71" s="62">
        <f t="shared" si="0"/>
        <v>46.68</v>
      </c>
    </row>
    <row r="72" spans="1:8" x14ac:dyDescent="0.25">
      <c r="A72" s="109" t="s">
        <v>86</v>
      </c>
      <c r="B72" s="109"/>
      <c r="C72" s="109"/>
      <c r="D72" s="1"/>
      <c r="E72" s="1"/>
      <c r="F72" s="1"/>
      <c r="G72" s="1"/>
      <c r="H72" s="64">
        <f>SUM(H63:H71)</f>
        <v>851.34</v>
      </c>
    </row>
    <row r="73" spans="1:8" x14ac:dyDescent="0.25">
      <c r="A73" s="109" t="s">
        <v>79</v>
      </c>
      <c r="B73" s="109"/>
      <c r="C73" s="109"/>
      <c r="D73" s="1"/>
      <c r="E73" s="1"/>
      <c r="F73" s="1"/>
      <c r="G73" s="1"/>
      <c r="H73" s="64">
        <f>H72*2</f>
        <v>1702.68</v>
      </c>
    </row>
    <row r="74" spans="1:8" x14ac:dyDescent="0.25">
      <c r="A74" s="109" t="s">
        <v>89</v>
      </c>
      <c r="B74" s="109"/>
      <c r="C74" s="109"/>
      <c r="D74" s="1"/>
      <c r="E74" s="1"/>
      <c r="F74" s="1"/>
      <c r="G74" s="1"/>
      <c r="H74" s="65">
        <f>H73/12</f>
        <v>141.89000000000001</v>
      </c>
    </row>
    <row r="75" spans="1:8" x14ac:dyDescent="0.25">
      <c r="A75" s="34"/>
      <c r="B75" s="34"/>
      <c r="C75" s="34"/>
      <c r="D75" s="1"/>
      <c r="E75" s="1"/>
      <c r="F75" s="1"/>
      <c r="G75" s="1"/>
      <c r="H75" s="1"/>
    </row>
    <row r="76" spans="1:8" ht="30" x14ac:dyDescent="0.25">
      <c r="A76" s="107" t="s">
        <v>21</v>
      </c>
      <c r="B76" s="107"/>
      <c r="C76" s="107"/>
      <c r="D76" s="48" t="s">
        <v>22</v>
      </c>
      <c r="E76" s="66" t="s">
        <v>77</v>
      </c>
      <c r="F76" s="66" t="s">
        <v>78</v>
      </c>
      <c r="G76" s="18" t="s">
        <v>44</v>
      </c>
      <c r="H76" s="18" t="s">
        <v>32</v>
      </c>
    </row>
    <row r="77" spans="1:8" x14ac:dyDescent="0.25">
      <c r="A77" s="105" t="s">
        <v>23</v>
      </c>
      <c r="B77" s="105"/>
      <c r="C77" s="105"/>
      <c r="D77" s="62" t="s">
        <v>42</v>
      </c>
      <c r="E77" s="62">
        <v>12</v>
      </c>
      <c r="F77" s="62">
        <v>1</v>
      </c>
      <c r="G77" s="63">
        <f>G63</f>
        <v>206.3</v>
      </c>
      <c r="H77" s="62">
        <f>G77*F77</f>
        <v>206.3</v>
      </c>
    </row>
    <row r="78" spans="1:8" x14ac:dyDescent="0.25">
      <c r="A78" s="105" t="s">
        <v>24</v>
      </c>
      <c r="B78" s="105"/>
      <c r="C78" s="105"/>
      <c r="D78" s="62" t="s">
        <v>42</v>
      </c>
      <c r="E78" s="62">
        <v>4</v>
      </c>
      <c r="F78" s="62">
        <v>3</v>
      </c>
      <c r="G78" s="63">
        <f>G64</f>
        <v>43.13</v>
      </c>
      <c r="H78" s="62">
        <f t="shared" ref="H78:H82" si="1">G78*F78</f>
        <v>129.39000000000001</v>
      </c>
    </row>
    <row r="79" spans="1:8" x14ac:dyDescent="0.25">
      <c r="A79" s="105" t="s">
        <v>25</v>
      </c>
      <c r="B79" s="105"/>
      <c r="C79" s="105"/>
      <c r="D79" s="62" t="s">
        <v>42</v>
      </c>
      <c r="E79" s="62">
        <v>2</v>
      </c>
      <c r="F79" s="62">
        <v>6</v>
      </c>
      <c r="G79" s="63">
        <f>G65</f>
        <v>18.13</v>
      </c>
      <c r="H79" s="62">
        <f t="shared" si="1"/>
        <v>108.78</v>
      </c>
    </row>
    <row r="80" spans="1:8" x14ac:dyDescent="0.25">
      <c r="A80" s="105" t="s">
        <v>27</v>
      </c>
      <c r="B80" s="105"/>
      <c r="C80" s="105"/>
      <c r="D80" s="62" t="s">
        <v>80</v>
      </c>
      <c r="E80" s="62">
        <v>6</v>
      </c>
      <c r="F80" s="62">
        <v>2</v>
      </c>
      <c r="G80" s="63">
        <f>G67</f>
        <v>45.19</v>
      </c>
      <c r="H80" s="62">
        <f t="shared" si="1"/>
        <v>90.38</v>
      </c>
    </row>
    <row r="81" spans="1:8" x14ac:dyDescent="0.25">
      <c r="A81" s="105" t="s">
        <v>28</v>
      </c>
      <c r="B81" s="105"/>
      <c r="C81" s="105"/>
      <c r="D81" s="62" t="s">
        <v>42</v>
      </c>
      <c r="E81" s="62">
        <v>6</v>
      </c>
      <c r="F81" s="62">
        <v>2</v>
      </c>
      <c r="G81" s="63">
        <f>G68</f>
        <v>19.600000000000001</v>
      </c>
      <c r="H81" s="62">
        <f t="shared" si="1"/>
        <v>39.200000000000003</v>
      </c>
    </row>
    <row r="82" spans="1:8" x14ac:dyDescent="0.25">
      <c r="A82" s="105" t="s">
        <v>31</v>
      </c>
      <c r="B82" s="105"/>
      <c r="C82" s="105"/>
      <c r="D82" s="62" t="s">
        <v>81</v>
      </c>
      <c r="E82" s="62">
        <v>4</v>
      </c>
      <c r="F82" s="62">
        <v>3</v>
      </c>
      <c r="G82" s="63">
        <f>G71</f>
        <v>15.56</v>
      </c>
      <c r="H82" s="62">
        <f t="shared" si="1"/>
        <v>46.68</v>
      </c>
    </row>
    <row r="83" spans="1:8" x14ac:dyDescent="0.25">
      <c r="A83" s="109" t="s">
        <v>86</v>
      </c>
      <c r="B83" s="109"/>
      <c r="C83" s="109"/>
      <c r="D83" s="1"/>
      <c r="E83" s="1"/>
      <c r="F83" s="1"/>
      <c r="G83" s="1"/>
      <c r="H83" s="64">
        <f>SUM(H77:H82)</f>
        <v>620.73</v>
      </c>
    </row>
    <row r="84" spans="1:8" x14ac:dyDescent="0.25">
      <c r="A84" s="109" t="s">
        <v>82</v>
      </c>
      <c r="B84" s="109"/>
      <c r="C84" s="109"/>
      <c r="D84" s="1"/>
      <c r="E84" s="1"/>
      <c r="F84" s="1"/>
      <c r="G84" s="1"/>
      <c r="H84" s="64">
        <f>H83*1</f>
        <v>620.73</v>
      </c>
    </row>
    <row r="85" spans="1:8" x14ac:dyDescent="0.25">
      <c r="A85" s="126" t="s">
        <v>89</v>
      </c>
      <c r="B85" s="126"/>
      <c r="C85" s="126"/>
      <c r="D85" s="1"/>
      <c r="E85" s="1"/>
      <c r="F85" s="1"/>
      <c r="G85" s="1"/>
      <c r="H85" s="76">
        <f>H84/12</f>
        <v>51.727499999999999</v>
      </c>
    </row>
    <row r="86" spans="1:8" ht="15.75" thickBot="1" x14ac:dyDescent="0.3">
      <c r="A86" s="109" t="s">
        <v>109</v>
      </c>
      <c r="B86" s="109"/>
      <c r="C86" s="109"/>
      <c r="D86" s="109"/>
      <c r="E86" s="109"/>
      <c r="F86" s="109"/>
      <c r="G86" s="127"/>
      <c r="H86" s="76">
        <f>H74+H85</f>
        <v>193.61750000000001</v>
      </c>
    </row>
    <row r="87" spans="1:8" ht="15.75" thickBot="1" x14ac:dyDescent="0.3">
      <c r="A87" s="67"/>
      <c r="B87" s="67"/>
      <c r="C87" s="67"/>
      <c r="D87" s="67"/>
      <c r="E87" s="107" t="s">
        <v>126</v>
      </c>
      <c r="F87" s="107"/>
      <c r="G87" s="81">
        <v>0.8</v>
      </c>
      <c r="H87" s="51">
        <f>H86*G87</f>
        <v>154.89400000000001</v>
      </c>
    </row>
    <row r="88" spans="1:8" ht="15.75" thickBot="1" x14ac:dyDescent="0.3">
      <c r="A88" s="67"/>
      <c r="B88" s="67"/>
      <c r="C88" s="67"/>
      <c r="D88" s="67"/>
      <c r="E88" s="67"/>
      <c r="F88" s="67"/>
      <c r="G88" s="67"/>
      <c r="H88" s="68"/>
    </row>
    <row r="89" spans="1:8" ht="15.75" thickBot="1" x14ac:dyDescent="0.3">
      <c r="A89" s="102" t="s">
        <v>133</v>
      </c>
      <c r="B89" s="103"/>
      <c r="C89" s="103"/>
      <c r="D89" s="103"/>
      <c r="E89" s="103"/>
      <c r="F89" s="103"/>
      <c r="G89" s="103"/>
      <c r="H89" s="104"/>
    </row>
    <row r="90" spans="1:8" x14ac:dyDescent="0.25">
      <c r="A90" s="131" t="s">
        <v>2</v>
      </c>
      <c r="B90" s="131"/>
      <c r="C90" s="131"/>
      <c r="D90" s="93" t="s">
        <v>3</v>
      </c>
      <c r="E90" s="93" t="s">
        <v>73</v>
      </c>
      <c r="F90" s="84" t="s">
        <v>127</v>
      </c>
      <c r="G90" s="93" t="s">
        <v>20</v>
      </c>
      <c r="H90" s="93" t="s">
        <v>8</v>
      </c>
    </row>
    <row r="91" spans="1:8" x14ac:dyDescent="0.25">
      <c r="A91" s="105" t="s">
        <v>106</v>
      </c>
      <c r="B91" s="105"/>
      <c r="C91" s="105"/>
      <c r="D91" s="62" t="s">
        <v>42</v>
      </c>
      <c r="E91" s="62">
        <v>12</v>
      </c>
      <c r="F91" s="62">
        <v>1</v>
      </c>
      <c r="G91" s="63">
        <v>64.17</v>
      </c>
      <c r="H91" s="62">
        <f>G91*F91</f>
        <v>64.17</v>
      </c>
    </row>
    <row r="92" spans="1:8" x14ac:dyDescent="0.25">
      <c r="A92" s="105" t="s">
        <v>107</v>
      </c>
      <c r="B92" s="105"/>
      <c r="C92" s="105"/>
      <c r="D92" s="62" t="s">
        <v>42</v>
      </c>
      <c r="E92" s="62">
        <v>4</v>
      </c>
      <c r="F92" s="62">
        <v>3</v>
      </c>
      <c r="G92" s="63">
        <v>35.35</v>
      </c>
      <c r="H92" s="62">
        <f t="shared" ref="H92:H93" si="2">G92*F92</f>
        <v>106.05000000000001</v>
      </c>
    </row>
    <row r="93" spans="1:8" x14ac:dyDescent="0.25">
      <c r="A93" s="105" t="s">
        <v>108</v>
      </c>
      <c r="B93" s="105"/>
      <c r="C93" s="105"/>
      <c r="D93" s="62" t="s">
        <v>42</v>
      </c>
      <c r="E93" s="62">
        <v>3</v>
      </c>
      <c r="F93" s="62">
        <v>4</v>
      </c>
      <c r="G93" s="63">
        <v>14.47</v>
      </c>
      <c r="H93" s="62">
        <f t="shared" si="2"/>
        <v>57.88</v>
      </c>
    </row>
    <row r="94" spans="1:8" x14ac:dyDescent="0.25">
      <c r="A94" s="126" t="s">
        <v>86</v>
      </c>
      <c r="B94" s="126"/>
      <c r="C94" s="126"/>
      <c r="D94" s="43"/>
      <c r="E94" s="43"/>
      <c r="F94" s="43"/>
      <c r="G94" s="41"/>
      <c r="H94" s="73">
        <f>SUM(H91:H93)</f>
        <v>228.10000000000002</v>
      </c>
    </row>
    <row r="95" spans="1:8" ht="15.75" thickBot="1" x14ac:dyDescent="0.3">
      <c r="A95" s="109" t="s">
        <v>110</v>
      </c>
      <c r="B95" s="109"/>
      <c r="C95" s="109"/>
      <c r="D95" s="109"/>
      <c r="E95" s="126"/>
      <c r="F95" s="126"/>
      <c r="G95" s="133"/>
      <c r="H95" s="76">
        <f>H94/12</f>
        <v>19.008333333333336</v>
      </c>
    </row>
    <row r="96" spans="1:8" ht="15.75" thickBot="1" x14ac:dyDescent="0.3">
      <c r="A96" s="67"/>
      <c r="B96" s="67"/>
      <c r="C96" s="67"/>
      <c r="D96" s="67"/>
      <c r="E96" s="107" t="s">
        <v>126</v>
      </c>
      <c r="F96" s="107"/>
      <c r="G96" s="81">
        <v>0.8</v>
      </c>
      <c r="H96" s="51">
        <f>H95*G96</f>
        <v>15.206666666666671</v>
      </c>
    </row>
    <row r="97" spans="1:12" ht="15.75" thickBot="1" x14ac:dyDescent="0.3">
      <c r="A97" s="67"/>
      <c r="B97" s="67"/>
      <c r="C97" s="67"/>
      <c r="D97" s="67"/>
      <c r="E97" s="86"/>
      <c r="F97" s="86"/>
      <c r="G97" s="87"/>
      <c r="H97" s="68"/>
    </row>
    <row r="98" spans="1:12" ht="15.75" thickBot="1" x14ac:dyDescent="0.3">
      <c r="A98" s="99" t="s">
        <v>134</v>
      </c>
      <c r="B98" s="100"/>
      <c r="C98" s="100"/>
      <c r="D98" s="100"/>
      <c r="E98" s="100"/>
      <c r="F98" s="100"/>
      <c r="G98" s="100"/>
      <c r="H98" s="101"/>
    </row>
    <row r="99" spans="1:12" x14ac:dyDescent="0.25">
      <c r="A99" s="131" t="s">
        <v>2</v>
      </c>
      <c r="B99" s="131"/>
      <c r="C99" s="131"/>
      <c r="D99" s="15" t="s">
        <v>3</v>
      </c>
      <c r="E99" s="15" t="s">
        <v>73</v>
      </c>
      <c r="F99" s="84" t="s">
        <v>128</v>
      </c>
      <c r="G99" s="15" t="s">
        <v>20</v>
      </c>
      <c r="H99" s="15" t="s">
        <v>8</v>
      </c>
    </row>
    <row r="100" spans="1:12" x14ac:dyDescent="0.25">
      <c r="A100" s="106" t="s">
        <v>83</v>
      </c>
      <c r="B100" s="106"/>
      <c r="C100" s="106"/>
      <c r="D100" s="2" t="s">
        <v>93</v>
      </c>
      <c r="E100" s="2">
        <v>1</v>
      </c>
      <c r="F100" s="37">
        <v>411186</v>
      </c>
      <c r="G100" s="37">
        <f>F100</f>
        <v>411186</v>
      </c>
      <c r="H100" s="40"/>
      <c r="L100" s="40"/>
    </row>
    <row r="101" spans="1:12" x14ac:dyDescent="0.25">
      <c r="A101" s="106" t="s">
        <v>63</v>
      </c>
      <c r="B101" s="106"/>
      <c r="C101" s="106"/>
      <c r="D101" s="2" t="s">
        <v>64</v>
      </c>
      <c r="E101" s="69">
        <v>5</v>
      </c>
      <c r="F101" s="2"/>
      <c r="G101" s="2"/>
      <c r="H101" s="5"/>
      <c r="L101" s="40"/>
    </row>
    <row r="102" spans="1:12" x14ac:dyDescent="0.25">
      <c r="A102" s="106" t="s">
        <v>66</v>
      </c>
      <c r="B102" s="106"/>
      <c r="C102" s="106"/>
      <c r="D102" s="2" t="s">
        <v>64</v>
      </c>
      <c r="E102" s="2">
        <v>0</v>
      </c>
      <c r="F102" s="37"/>
      <c r="G102" s="37"/>
      <c r="H102" s="5"/>
      <c r="L102" s="40"/>
    </row>
    <row r="103" spans="1:12" x14ac:dyDescent="0.25">
      <c r="A103" s="106" t="s">
        <v>65</v>
      </c>
      <c r="B103" s="106"/>
      <c r="C103" s="106"/>
      <c r="D103" s="2" t="s">
        <v>33</v>
      </c>
      <c r="E103" s="69">
        <v>80</v>
      </c>
      <c r="F103" s="37">
        <f>G100*(E103/100)</f>
        <v>328948.80000000005</v>
      </c>
      <c r="G103" s="37">
        <f>F103</f>
        <v>328948.80000000005</v>
      </c>
      <c r="H103" s="5"/>
      <c r="L103" s="40"/>
    </row>
    <row r="104" spans="1:12" x14ac:dyDescent="0.25">
      <c r="A104" s="129" t="s">
        <v>84</v>
      </c>
      <c r="B104" s="129"/>
      <c r="C104" s="129"/>
      <c r="D104" s="2" t="s">
        <v>34</v>
      </c>
      <c r="E104" s="69">
        <v>60</v>
      </c>
      <c r="F104" s="37">
        <f>G103</f>
        <v>328948.80000000005</v>
      </c>
      <c r="G104" s="89">
        <f>F104/E104</f>
        <v>5482.4800000000005</v>
      </c>
      <c r="H104" s="5"/>
      <c r="L104" s="5"/>
    </row>
    <row r="105" spans="1:12" x14ac:dyDescent="0.25">
      <c r="A105" s="106" t="s">
        <v>85</v>
      </c>
      <c r="B105" s="106"/>
      <c r="C105" s="106"/>
      <c r="D105" s="62" t="s">
        <v>47</v>
      </c>
      <c r="E105" s="62">
        <v>1</v>
      </c>
      <c r="F105" s="70">
        <v>178413.67</v>
      </c>
      <c r="G105" s="70">
        <f>F105</f>
        <v>178413.67</v>
      </c>
      <c r="H105" s="39"/>
    </row>
    <row r="106" spans="1:12" x14ac:dyDescent="0.25">
      <c r="A106" s="106" t="s">
        <v>63</v>
      </c>
      <c r="B106" s="106"/>
      <c r="C106" s="106"/>
      <c r="D106" s="62" t="s">
        <v>64</v>
      </c>
      <c r="E106" s="62">
        <v>5</v>
      </c>
      <c r="F106" s="62"/>
      <c r="G106" s="62"/>
      <c r="H106" s="39"/>
    </row>
    <row r="107" spans="1:12" x14ac:dyDescent="0.25">
      <c r="A107" s="106" t="s">
        <v>66</v>
      </c>
      <c r="B107" s="106"/>
      <c r="C107" s="106"/>
      <c r="D107" s="62" t="s">
        <v>64</v>
      </c>
      <c r="E107" s="62">
        <v>0</v>
      </c>
      <c r="F107" s="71"/>
      <c r="G107" s="71"/>
      <c r="H107" s="39"/>
    </row>
    <row r="108" spans="1:12" x14ac:dyDescent="0.25">
      <c r="A108" s="106" t="s">
        <v>65</v>
      </c>
      <c r="B108" s="106"/>
      <c r="C108" s="106"/>
      <c r="D108" s="62" t="s">
        <v>33</v>
      </c>
      <c r="E108" s="62">
        <v>80</v>
      </c>
      <c r="F108" s="70">
        <f>G105*(E108/100)</f>
        <v>142730.93600000002</v>
      </c>
      <c r="G108" s="70">
        <f>F108</f>
        <v>142730.93600000002</v>
      </c>
      <c r="H108" s="39"/>
    </row>
    <row r="109" spans="1:12" x14ac:dyDescent="0.25">
      <c r="A109" s="129" t="s">
        <v>84</v>
      </c>
      <c r="B109" s="129"/>
      <c r="C109" s="129"/>
      <c r="D109" s="62" t="s">
        <v>34</v>
      </c>
      <c r="E109" s="62">
        <v>60</v>
      </c>
      <c r="F109" s="37">
        <f>G108</f>
        <v>142730.93600000002</v>
      </c>
      <c r="G109" s="89">
        <f>F109/E109</f>
        <v>2378.8489333333337</v>
      </c>
      <c r="H109" s="39"/>
    </row>
    <row r="110" spans="1:12" ht="15.75" thickBot="1" x14ac:dyDescent="0.3">
      <c r="A110" s="127" t="s">
        <v>68</v>
      </c>
      <c r="B110" s="140"/>
      <c r="C110" s="140"/>
      <c r="D110" s="140"/>
      <c r="E110" s="140"/>
      <c r="F110" s="140"/>
      <c r="G110" s="140"/>
      <c r="H110" s="77">
        <f>G104+G109</f>
        <v>7861.3289333333341</v>
      </c>
    </row>
    <row r="111" spans="1:12" ht="15.75" thickBot="1" x14ac:dyDescent="0.3">
      <c r="A111" s="130"/>
      <c r="B111" s="130"/>
      <c r="C111" s="130"/>
      <c r="D111" s="39"/>
      <c r="E111" s="128" t="s">
        <v>67</v>
      </c>
      <c r="F111" s="128"/>
      <c r="G111" s="82">
        <v>0.8</v>
      </c>
      <c r="H111" s="52">
        <f>H110*G111</f>
        <v>6289.0631466666673</v>
      </c>
    </row>
    <row r="112" spans="1:12" ht="15.75" thickBot="1" x14ac:dyDescent="0.3"/>
    <row r="113" spans="1:8" ht="15.75" thickBot="1" x14ac:dyDescent="0.3">
      <c r="A113" s="99" t="s">
        <v>45</v>
      </c>
      <c r="B113" s="100"/>
      <c r="C113" s="100"/>
      <c r="D113" s="100"/>
      <c r="E113" s="100"/>
      <c r="F113" s="100"/>
      <c r="G113" s="100"/>
      <c r="H113" s="101"/>
    </row>
    <row r="114" spans="1:8" x14ac:dyDescent="0.25">
      <c r="A114" s="131" t="s">
        <v>2</v>
      </c>
      <c r="B114" s="131"/>
      <c r="C114" s="131"/>
      <c r="D114" s="15" t="s">
        <v>3</v>
      </c>
      <c r="E114" s="15" t="s">
        <v>73</v>
      </c>
      <c r="F114" s="84" t="s">
        <v>129</v>
      </c>
      <c r="G114" s="15" t="s">
        <v>20</v>
      </c>
      <c r="H114" s="15" t="s">
        <v>8</v>
      </c>
    </row>
    <row r="115" spans="1:8" x14ac:dyDescent="0.25">
      <c r="A115" s="105" t="s">
        <v>46</v>
      </c>
      <c r="B115" s="105"/>
      <c r="C115" s="105"/>
      <c r="D115" s="2" t="s">
        <v>47</v>
      </c>
      <c r="E115" s="33">
        <v>0.01</v>
      </c>
      <c r="F115" s="37">
        <f>F100*E115</f>
        <v>4111.8599999999997</v>
      </c>
      <c r="G115" s="37">
        <f>F115</f>
        <v>4111.8599999999997</v>
      </c>
      <c r="H115" s="5"/>
    </row>
    <row r="116" spans="1:8" x14ac:dyDescent="0.25">
      <c r="A116" s="105" t="s">
        <v>90</v>
      </c>
      <c r="B116" s="105"/>
      <c r="C116" s="105"/>
      <c r="D116" s="2" t="s">
        <v>47</v>
      </c>
      <c r="E116" s="2">
        <v>1</v>
      </c>
      <c r="F116" s="72">
        <v>91.98</v>
      </c>
      <c r="G116" s="37">
        <f t="shared" ref="G116:G117" si="3">F116</f>
        <v>91.98</v>
      </c>
      <c r="H116" s="5"/>
    </row>
    <row r="117" spans="1:8" x14ac:dyDescent="0.25">
      <c r="A117" s="105" t="s">
        <v>91</v>
      </c>
      <c r="B117" s="105"/>
      <c r="C117" s="105"/>
      <c r="D117" s="2" t="s">
        <v>47</v>
      </c>
      <c r="E117" s="2">
        <v>1</v>
      </c>
      <c r="F117" s="72">
        <v>8000</v>
      </c>
      <c r="G117" s="37">
        <f t="shared" si="3"/>
        <v>8000</v>
      </c>
      <c r="H117" s="5"/>
    </row>
    <row r="118" spans="1:8" ht="15.75" thickBot="1" x14ac:dyDescent="0.3">
      <c r="A118" s="109" t="s">
        <v>48</v>
      </c>
      <c r="B118" s="109"/>
      <c r="C118" s="109"/>
      <c r="H118" s="83">
        <f>(G115+G116+G117)/12</f>
        <v>1016.9866666666667</v>
      </c>
    </row>
    <row r="119" spans="1:8" ht="15.75" thickBot="1" x14ac:dyDescent="0.3">
      <c r="A119" s="67"/>
      <c r="B119" s="67"/>
      <c r="C119" s="67"/>
      <c r="E119" s="128" t="s">
        <v>67</v>
      </c>
      <c r="F119" s="128"/>
      <c r="G119" s="82">
        <v>1</v>
      </c>
      <c r="H119" s="53">
        <f>H118*G119</f>
        <v>1016.9866666666667</v>
      </c>
    </row>
    <row r="120" spans="1:8" ht="15.75" thickBot="1" x14ac:dyDescent="0.3">
      <c r="A120" s="13"/>
    </row>
    <row r="121" spans="1:8" ht="15.75" thickBot="1" x14ac:dyDescent="0.3">
      <c r="A121" s="99" t="s">
        <v>135</v>
      </c>
      <c r="B121" s="100"/>
      <c r="C121" s="100"/>
      <c r="D121" s="100"/>
      <c r="E121" s="100"/>
      <c r="F121" s="100"/>
      <c r="G121" s="100"/>
      <c r="H121" s="101"/>
    </row>
    <row r="122" spans="1:8" x14ac:dyDescent="0.25">
      <c r="A122" s="135" t="s">
        <v>111</v>
      </c>
      <c r="B122" s="135"/>
      <c r="C122" s="135"/>
      <c r="D122" s="85">
        <v>500</v>
      </c>
      <c r="E122" s="44"/>
      <c r="F122" s="44"/>
      <c r="G122" s="44"/>
      <c r="H122" s="44"/>
    </row>
    <row r="123" spans="1:8" x14ac:dyDescent="0.25">
      <c r="A123" s="136" t="s">
        <v>2</v>
      </c>
      <c r="B123" s="136"/>
      <c r="C123" s="136"/>
      <c r="D123" s="2" t="s">
        <v>3</v>
      </c>
      <c r="E123" s="2" t="s">
        <v>50</v>
      </c>
      <c r="F123" s="61" t="s">
        <v>128</v>
      </c>
      <c r="G123" s="2" t="s">
        <v>20</v>
      </c>
      <c r="H123" s="2" t="s">
        <v>8</v>
      </c>
    </row>
    <row r="124" spans="1:8" x14ac:dyDescent="0.25">
      <c r="A124" s="108" t="s">
        <v>51</v>
      </c>
      <c r="B124" s="108"/>
      <c r="C124" s="108"/>
      <c r="D124" s="62" t="s">
        <v>52</v>
      </c>
      <c r="E124" s="62">
        <v>1.4</v>
      </c>
      <c r="F124" s="62">
        <v>7.07</v>
      </c>
      <c r="G124" s="70"/>
      <c r="H124" s="45"/>
    </row>
    <row r="125" spans="1:8" x14ac:dyDescent="0.25">
      <c r="A125" s="108" t="s">
        <v>53</v>
      </c>
      <c r="B125" s="108"/>
      <c r="C125" s="108"/>
      <c r="D125" s="62" t="s">
        <v>54</v>
      </c>
      <c r="E125" s="62">
        <v>800</v>
      </c>
      <c r="F125" s="62">
        <f>F124/E124</f>
        <v>5.0500000000000007</v>
      </c>
      <c r="G125" s="70">
        <f>F125*E125</f>
        <v>4040.0000000000005</v>
      </c>
      <c r="H125" s="45"/>
    </row>
    <row r="126" spans="1:8" x14ac:dyDescent="0.25">
      <c r="A126" s="108" t="s">
        <v>100</v>
      </c>
      <c r="B126" s="108"/>
      <c r="C126" s="108"/>
      <c r="D126" s="62" t="s">
        <v>101</v>
      </c>
      <c r="E126" s="62">
        <v>25</v>
      </c>
      <c r="F126" s="25">
        <f>(313.28/20)</f>
        <v>15.663999999999998</v>
      </c>
      <c r="G126" s="70"/>
      <c r="H126" s="45"/>
    </row>
    <row r="127" spans="1:8" x14ac:dyDescent="0.25">
      <c r="A127" s="108" t="s">
        <v>94</v>
      </c>
      <c r="B127" s="108"/>
      <c r="C127" s="108"/>
      <c r="D127" s="62" t="s">
        <v>57</v>
      </c>
      <c r="E127" s="62">
        <v>800</v>
      </c>
      <c r="F127" s="62">
        <f>(E127/10000)</f>
        <v>0.08</v>
      </c>
      <c r="G127" s="70">
        <f>F126*F127*E126</f>
        <v>31.327999999999996</v>
      </c>
      <c r="H127" s="45"/>
    </row>
    <row r="128" spans="1:8" x14ac:dyDescent="0.25">
      <c r="A128" s="108" t="s">
        <v>95</v>
      </c>
      <c r="B128" s="108"/>
      <c r="C128" s="108"/>
      <c r="D128" s="62" t="s">
        <v>103</v>
      </c>
      <c r="E128" s="62">
        <v>15</v>
      </c>
      <c r="F128" s="25">
        <f>(368.97/20)</f>
        <v>18.448500000000003</v>
      </c>
      <c r="G128" s="70"/>
      <c r="H128" s="45"/>
    </row>
    <row r="129" spans="1:8" x14ac:dyDescent="0.25">
      <c r="A129" s="108" t="s">
        <v>96</v>
      </c>
      <c r="B129" s="108"/>
      <c r="C129" s="108"/>
      <c r="D129" s="62" t="s">
        <v>57</v>
      </c>
      <c r="E129" s="62">
        <v>800</v>
      </c>
      <c r="F129" s="62">
        <f>(E129/160000)</f>
        <v>5.0000000000000001E-3</v>
      </c>
      <c r="G129" s="70">
        <f>F128*F129*E128</f>
        <v>1.3836375000000003</v>
      </c>
      <c r="H129" s="45"/>
    </row>
    <row r="130" spans="1:8" x14ac:dyDescent="0.25">
      <c r="A130" s="108" t="s">
        <v>97</v>
      </c>
      <c r="B130" s="108"/>
      <c r="C130" s="108"/>
      <c r="D130" s="62" t="s">
        <v>102</v>
      </c>
      <c r="E130" s="62">
        <v>200</v>
      </c>
      <c r="F130" s="25">
        <f>(304.45/20)</f>
        <v>15.2225</v>
      </c>
      <c r="G130" s="70"/>
      <c r="H130" s="45"/>
    </row>
    <row r="131" spans="1:8" x14ac:dyDescent="0.25">
      <c r="A131" s="108" t="s">
        <v>98</v>
      </c>
      <c r="B131" s="108"/>
      <c r="C131" s="108"/>
      <c r="D131" s="62" t="s">
        <v>57</v>
      </c>
      <c r="E131" s="62">
        <v>800</v>
      </c>
      <c r="F131" s="62">
        <f>(E131/200000)</f>
        <v>4.0000000000000001E-3</v>
      </c>
      <c r="G131" s="70">
        <f>F131*F130*E130</f>
        <v>12.178000000000001</v>
      </c>
      <c r="H131" s="45"/>
    </row>
    <row r="132" spans="1:8" x14ac:dyDescent="0.25">
      <c r="A132" s="108" t="s">
        <v>99</v>
      </c>
      <c r="B132" s="108"/>
      <c r="C132" s="108"/>
      <c r="D132" s="62" t="s">
        <v>55</v>
      </c>
      <c r="E132" s="62">
        <v>15</v>
      </c>
      <c r="F132" s="25">
        <f>(121.54/20)</f>
        <v>6.077</v>
      </c>
      <c r="G132" s="70"/>
      <c r="H132" s="45"/>
    </row>
    <row r="133" spans="1:8" ht="15.75" thickBot="1" x14ac:dyDescent="0.3">
      <c r="A133" s="108" t="s">
        <v>56</v>
      </c>
      <c r="B133" s="108"/>
      <c r="C133" s="108"/>
      <c r="D133" s="62" t="s">
        <v>57</v>
      </c>
      <c r="E133" s="62">
        <v>800</v>
      </c>
      <c r="F133" s="25">
        <f>(E133/1000)</f>
        <v>0.8</v>
      </c>
      <c r="G133" s="70">
        <f>F133*F132*E132</f>
        <v>72.924000000000007</v>
      </c>
      <c r="H133" s="45"/>
    </row>
    <row r="134" spans="1:8" ht="15.75" thickBot="1" x14ac:dyDescent="0.3">
      <c r="A134" s="109" t="s">
        <v>58</v>
      </c>
      <c r="B134" s="109"/>
      <c r="C134" s="109"/>
      <c r="D134" s="1"/>
      <c r="E134" s="1"/>
      <c r="F134" s="1"/>
      <c r="G134" s="1"/>
      <c r="H134" s="52">
        <f>SUM(G125:G133)</f>
        <v>4157.8136375000004</v>
      </c>
    </row>
    <row r="135" spans="1:8" x14ac:dyDescent="0.25">
      <c r="A135" s="67"/>
      <c r="B135" s="67"/>
      <c r="C135" s="67"/>
      <c r="D135" s="47"/>
      <c r="E135" s="47"/>
      <c r="F135" s="47"/>
      <c r="G135" s="47"/>
      <c r="H135" s="78"/>
    </row>
    <row r="136" spans="1:8" ht="15.75" thickBot="1" x14ac:dyDescent="0.3">
      <c r="A136" s="67"/>
      <c r="B136" s="67"/>
      <c r="C136" s="67"/>
      <c r="D136" s="47"/>
      <c r="E136" s="47"/>
      <c r="F136" s="47"/>
      <c r="G136" s="47"/>
      <c r="H136" s="78"/>
    </row>
    <row r="137" spans="1:8" ht="15.75" thickBot="1" x14ac:dyDescent="0.3">
      <c r="A137" s="99" t="s">
        <v>136</v>
      </c>
      <c r="B137" s="100"/>
      <c r="C137" s="100"/>
      <c r="D137" s="100"/>
      <c r="E137" s="100"/>
      <c r="F137" s="100"/>
      <c r="G137" s="100"/>
      <c r="H137" s="101"/>
    </row>
    <row r="138" spans="1:8" x14ac:dyDescent="0.25">
      <c r="A138" s="134" t="s">
        <v>60</v>
      </c>
      <c r="B138" s="134"/>
      <c r="C138" s="134"/>
      <c r="D138" s="15" t="s">
        <v>3</v>
      </c>
      <c r="E138" s="15" t="s">
        <v>73</v>
      </c>
      <c r="F138" s="84" t="s">
        <v>131</v>
      </c>
      <c r="G138" s="15" t="s">
        <v>20</v>
      </c>
      <c r="H138" s="15" t="s">
        <v>8</v>
      </c>
    </row>
    <row r="139" spans="1:8" x14ac:dyDescent="0.25">
      <c r="A139" s="137" t="s">
        <v>59</v>
      </c>
      <c r="B139" s="138"/>
      <c r="C139" s="139"/>
      <c r="D139" s="62" t="s">
        <v>42</v>
      </c>
      <c r="E139" s="62">
        <v>6</v>
      </c>
      <c r="F139" s="70">
        <v>1880</v>
      </c>
      <c r="G139" s="74">
        <f>F139*E139</f>
        <v>11280</v>
      </c>
      <c r="H139" s="45"/>
    </row>
    <row r="140" spans="1:8" x14ac:dyDescent="0.25">
      <c r="A140" s="137" t="s">
        <v>69</v>
      </c>
      <c r="B140" s="138"/>
      <c r="C140" s="139"/>
      <c r="D140" s="62" t="s">
        <v>42</v>
      </c>
      <c r="E140" s="62">
        <v>2</v>
      </c>
      <c r="F140" s="70"/>
      <c r="G140" s="71"/>
      <c r="H140" s="45"/>
    </row>
    <row r="141" spans="1:8" x14ac:dyDescent="0.25">
      <c r="A141" s="137" t="s">
        <v>70</v>
      </c>
      <c r="B141" s="138"/>
      <c r="C141" s="139"/>
      <c r="D141" s="62" t="s">
        <v>42</v>
      </c>
      <c r="E141" s="62">
        <v>12</v>
      </c>
      <c r="F141" s="70">
        <v>580</v>
      </c>
      <c r="G141" s="74">
        <f>F141*E141</f>
        <v>6960</v>
      </c>
      <c r="H141" s="45"/>
    </row>
    <row r="142" spans="1:8" x14ac:dyDescent="0.25">
      <c r="A142" s="137" t="s">
        <v>104</v>
      </c>
      <c r="B142" s="138"/>
      <c r="C142" s="139"/>
      <c r="D142" s="62" t="s">
        <v>71</v>
      </c>
      <c r="E142" s="75">
        <v>25000</v>
      </c>
      <c r="F142" s="70">
        <f>G139/50</f>
        <v>225.6</v>
      </c>
      <c r="G142" s="71"/>
      <c r="H142" s="45"/>
    </row>
    <row r="143" spans="1:8" ht="15.75" thickBot="1" x14ac:dyDescent="0.3">
      <c r="A143" s="137" t="s">
        <v>105</v>
      </c>
      <c r="B143" s="138"/>
      <c r="C143" s="139"/>
      <c r="D143" s="62" t="s">
        <v>71</v>
      </c>
      <c r="E143" s="75">
        <v>20000</v>
      </c>
      <c r="F143" s="70">
        <f>G141/80</f>
        <v>87</v>
      </c>
      <c r="G143" s="71"/>
      <c r="H143" s="45"/>
    </row>
    <row r="144" spans="1:8" ht="15.75" thickBot="1" x14ac:dyDescent="0.3">
      <c r="A144" s="128" t="s">
        <v>72</v>
      </c>
      <c r="B144" s="128"/>
      <c r="C144" s="128"/>
      <c r="D144" s="88"/>
      <c r="H144" s="52">
        <f>SUM(F142:F143)</f>
        <v>312.60000000000002</v>
      </c>
    </row>
    <row r="145" spans="1:9" ht="15.75" thickBot="1" x14ac:dyDescent="0.3">
      <c r="A145" s="14"/>
    </row>
    <row r="146" spans="1:9" ht="15.75" thickBot="1" x14ac:dyDescent="0.3">
      <c r="A146" s="99" t="s">
        <v>137</v>
      </c>
      <c r="B146" s="100"/>
      <c r="C146" s="100"/>
      <c r="D146" s="100"/>
      <c r="E146" s="100"/>
      <c r="F146" s="100"/>
      <c r="G146" s="100"/>
      <c r="H146" s="101"/>
    </row>
    <row r="147" spans="1:9" s="13" customFormat="1" ht="15.75" thickBot="1" x14ac:dyDescent="0.3">
      <c r="A147" s="97" t="s">
        <v>2</v>
      </c>
      <c r="B147" s="97"/>
      <c r="C147" s="97"/>
      <c r="D147" s="97"/>
      <c r="E147" s="3" t="s">
        <v>3</v>
      </c>
      <c r="F147" s="3" t="s">
        <v>73</v>
      </c>
      <c r="G147" s="31" t="s">
        <v>130</v>
      </c>
      <c r="H147" s="50" t="s">
        <v>61</v>
      </c>
    </row>
    <row r="148" spans="1:9" ht="15.75" thickBot="1" x14ac:dyDescent="0.3">
      <c r="A148" s="106" t="s">
        <v>62</v>
      </c>
      <c r="B148" s="106"/>
      <c r="C148" s="106"/>
      <c r="D148" s="106"/>
      <c r="E148" s="2" t="s">
        <v>87</v>
      </c>
      <c r="F148" s="2">
        <v>90</v>
      </c>
      <c r="G148" s="91">
        <v>186.29</v>
      </c>
      <c r="H148" s="54">
        <f>G148*F148</f>
        <v>16766.099999999999</v>
      </c>
    </row>
    <row r="150" spans="1:9" ht="15.75" thickBot="1" x14ac:dyDescent="0.3"/>
    <row r="151" spans="1:9" ht="15.75" thickBot="1" x14ac:dyDescent="0.3">
      <c r="A151" s="94" t="s">
        <v>112</v>
      </c>
      <c r="B151" s="95"/>
      <c r="C151" s="95"/>
      <c r="D151" s="95"/>
      <c r="E151" s="95"/>
      <c r="F151" s="95"/>
      <c r="G151" s="96"/>
      <c r="H151" s="52">
        <f>H59+H87+H96+H111+H119+H134+H144+H148</f>
        <v>40461.376957499997</v>
      </c>
      <c r="I151" s="46"/>
    </row>
    <row r="152" spans="1:9" ht="15.75" thickBot="1" x14ac:dyDescent="0.3"/>
    <row r="153" spans="1:9" ht="15.75" thickBot="1" x14ac:dyDescent="0.3">
      <c r="A153" s="99" t="s">
        <v>138</v>
      </c>
      <c r="B153" s="100"/>
      <c r="C153" s="100"/>
      <c r="D153" s="100"/>
      <c r="E153" s="100"/>
      <c r="F153" s="100"/>
      <c r="G153" s="100"/>
      <c r="H153" s="101"/>
    </row>
    <row r="154" spans="1:9" s="13" customFormat="1" ht="15.75" thickBot="1" x14ac:dyDescent="0.3">
      <c r="A154" s="97" t="s">
        <v>60</v>
      </c>
      <c r="B154" s="97"/>
      <c r="C154" s="97"/>
      <c r="D154" s="3" t="s">
        <v>3</v>
      </c>
      <c r="E154" s="3" t="s">
        <v>73</v>
      </c>
      <c r="F154" s="3" t="s">
        <v>49</v>
      </c>
      <c r="G154" s="50" t="s">
        <v>8</v>
      </c>
    </row>
    <row r="155" spans="1:9" ht="15.75" thickBot="1" x14ac:dyDescent="0.3">
      <c r="A155" s="98" t="s">
        <v>117</v>
      </c>
      <c r="B155" s="98"/>
      <c r="C155" s="98"/>
      <c r="D155" s="15" t="s">
        <v>33</v>
      </c>
      <c r="E155" s="15">
        <v>10</v>
      </c>
      <c r="F155" s="90">
        <f>H151</f>
        <v>40461.376957499997</v>
      </c>
      <c r="G155" s="54">
        <f>F155*(E155/100)</f>
        <v>4046.1376957499997</v>
      </c>
    </row>
    <row r="156" spans="1:9" ht="15.75" thickBot="1" x14ac:dyDescent="0.3"/>
    <row r="157" spans="1:9" ht="15.75" thickBot="1" x14ac:dyDescent="0.3">
      <c r="A157" s="94" t="s">
        <v>118</v>
      </c>
      <c r="B157" s="95"/>
      <c r="C157" s="95"/>
      <c r="D157" s="95"/>
      <c r="E157" s="95"/>
      <c r="F157" s="95"/>
      <c r="G157" s="96"/>
      <c r="H157" s="52">
        <f>H151+G155</f>
        <v>44507.514653249993</v>
      </c>
    </row>
    <row r="158" spans="1:9" ht="15.75" thickBot="1" x14ac:dyDescent="0.3"/>
    <row r="159" spans="1:9" ht="15.75" thickBot="1" x14ac:dyDescent="0.3">
      <c r="A159" s="99" t="s">
        <v>139</v>
      </c>
      <c r="B159" s="100"/>
      <c r="C159" s="100"/>
      <c r="D159" s="100"/>
      <c r="E159" s="100"/>
      <c r="F159" s="100"/>
      <c r="G159" s="100"/>
      <c r="H159" s="101"/>
    </row>
    <row r="160" spans="1:9" s="13" customFormat="1" x14ac:dyDescent="0.25">
      <c r="A160" s="119" t="s">
        <v>60</v>
      </c>
      <c r="B160" s="120"/>
      <c r="C160" s="120"/>
      <c r="D160" s="121"/>
      <c r="E160" s="3" t="s">
        <v>3</v>
      </c>
      <c r="F160" s="3" t="s">
        <v>49</v>
      </c>
      <c r="G160" s="3"/>
    </row>
    <row r="161" spans="1:8" x14ac:dyDescent="0.25">
      <c r="A161" s="106" t="s">
        <v>113</v>
      </c>
      <c r="B161" s="106"/>
      <c r="C161" s="106"/>
      <c r="D161" s="106"/>
      <c r="E161" s="33" t="s">
        <v>33</v>
      </c>
      <c r="F161" s="28">
        <v>5</v>
      </c>
      <c r="G161" s="28">
        <f>H157*(F161/100)</f>
        <v>2225.3757326624996</v>
      </c>
    </row>
    <row r="162" spans="1:8" x14ac:dyDescent="0.25">
      <c r="A162" s="106" t="s">
        <v>114</v>
      </c>
      <c r="B162" s="106"/>
      <c r="C162" s="106"/>
      <c r="D162" s="106"/>
      <c r="E162" s="33" t="s">
        <v>33</v>
      </c>
      <c r="F162" s="28">
        <v>3</v>
      </c>
      <c r="G162" s="29">
        <f>H157*(F162/100)</f>
        <v>1335.2254395974996</v>
      </c>
    </row>
    <row r="163" spans="1:8" x14ac:dyDescent="0.25">
      <c r="A163" s="106" t="s">
        <v>115</v>
      </c>
      <c r="B163" s="106"/>
      <c r="C163" s="106"/>
      <c r="D163" s="106"/>
      <c r="E163" s="33" t="s">
        <v>33</v>
      </c>
      <c r="F163" s="28">
        <v>0.65</v>
      </c>
      <c r="G163" s="29">
        <f>H157*(F163/100)</f>
        <v>289.29884524612498</v>
      </c>
    </row>
    <row r="164" spans="1:8" x14ac:dyDescent="0.25">
      <c r="A164" s="106" t="s">
        <v>116</v>
      </c>
      <c r="B164" s="106"/>
      <c r="C164" s="106"/>
      <c r="D164" s="106"/>
      <c r="E164" s="33" t="s">
        <v>33</v>
      </c>
      <c r="F164" s="28">
        <v>5</v>
      </c>
      <c r="G164" s="29">
        <f>H157*(F164/100)</f>
        <v>2225.3757326624996</v>
      </c>
    </row>
    <row r="165" spans="1:8" x14ac:dyDescent="0.25">
      <c r="A165" s="129" t="s">
        <v>119</v>
      </c>
      <c r="B165" s="129"/>
      <c r="C165" s="129"/>
      <c r="D165" s="129"/>
      <c r="E165" s="55" t="s">
        <v>33</v>
      </c>
      <c r="F165" s="65">
        <f>SUM(F161:F164)</f>
        <v>13.65</v>
      </c>
      <c r="G165" s="56">
        <f>H157*(F165/100)</f>
        <v>6075.2757501686247</v>
      </c>
      <c r="H165" s="9"/>
    </row>
    <row r="166" spans="1:8" ht="15.75" thickBot="1" x14ac:dyDescent="0.3"/>
    <row r="167" spans="1:8" ht="15.75" thickBot="1" x14ac:dyDescent="0.3">
      <c r="A167" s="94" t="s">
        <v>120</v>
      </c>
      <c r="B167" s="95"/>
      <c r="C167" s="95"/>
      <c r="D167" s="95"/>
      <c r="E167" s="95"/>
      <c r="F167" s="95"/>
      <c r="G167" s="96"/>
      <c r="H167" s="52">
        <f>G165+H157</f>
        <v>50582.790403418621</v>
      </c>
    </row>
    <row r="169" spans="1:8" s="13" customFormat="1" x14ac:dyDescent="0.25">
      <c r="A169" s="129" t="s">
        <v>121</v>
      </c>
      <c r="B169" s="129"/>
      <c r="C169" s="129"/>
      <c r="D169" s="129"/>
      <c r="E169" s="129"/>
      <c r="F169" s="129"/>
      <c r="G169" s="80">
        <v>90</v>
      </c>
      <c r="H169" s="80" t="s">
        <v>122</v>
      </c>
    </row>
    <row r="170" spans="1:8" ht="15.75" thickBot="1" x14ac:dyDescent="0.3"/>
    <row r="171" spans="1:8" ht="15.75" thickBot="1" x14ac:dyDescent="0.3">
      <c r="A171" s="94" t="s">
        <v>123</v>
      </c>
      <c r="B171" s="95"/>
      <c r="C171" s="95"/>
      <c r="D171" s="95"/>
      <c r="E171" s="95"/>
      <c r="F171" s="95"/>
      <c r="G171" s="96"/>
      <c r="H171" s="52">
        <f>H167/G169</f>
        <v>562.03100448242913</v>
      </c>
    </row>
  </sheetData>
  <mergeCells count="150">
    <mergeCell ref="A160:D160"/>
    <mergeCell ref="A139:C139"/>
    <mergeCell ref="A140:C140"/>
    <mergeCell ref="A169:F169"/>
    <mergeCell ref="A141:C141"/>
    <mergeCell ref="E59:F59"/>
    <mergeCell ref="E87:F87"/>
    <mergeCell ref="E96:F96"/>
    <mergeCell ref="E119:F119"/>
    <mergeCell ref="A144:C144"/>
    <mergeCell ref="A143:C143"/>
    <mergeCell ref="A142:C142"/>
    <mergeCell ref="A110:G110"/>
    <mergeCell ref="A161:D161"/>
    <mergeCell ref="A162:D162"/>
    <mergeCell ref="A163:D163"/>
    <mergeCell ref="A164:D164"/>
    <mergeCell ref="A165:D165"/>
    <mergeCell ref="A157:G157"/>
    <mergeCell ref="A167:G167"/>
    <mergeCell ref="A121:H121"/>
    <mergeCell ref="A113:H113"/>
    <mergeCell ref="A114:C114"/>
    <mergeCell ref="A115:C115"/>
    <mergeCell ref="A116:C116"/>
    <mergeCell ref="A104:C104"/>
    <mergeCell ref="A1:H2"/>
    <mergeCell ref="A95:G95"/>
    <mergeCell ref="A138:C138"/>
    <mergeCell ref="A122:C122"/>
    <mergeCell ref="A146:H146"/>
    <mergeCell ref="A147:D147"/>
    <mergeCell ref="A148:D148"/>
    <mergeCell ref="A153:H153"/>
    <mergeCell ref="A159:H159"/>
    <mergeCell ref="A134:C134"/>
    <mergeCell ref="A137:H137"/>
    <mergeCell ref="A124:C124"/>
    <mergeCell ref="A123:C123"/>
    <mergeCell ref="A125:C125"/>
    <mergeCell ref="A132:C132"/>
    <mergeCell ref="A133:C133"/>
    <mergeCell ref="A126:C126"/>
    <mergeCell ref="A127:C127"/>
    <mergeCell ref="A128:C128"/>
    <mergeCell ref="A129:C129"/>
    <mergeCell ref="A130:C130"/>
    <mergeCell ref="A131:C131"/>
    <mergeCell ref="A117:C117"/>
    <mergeCell ref="A118:C118"/>
    <mergeCell ref="E111:F111"/>
    <mergeCell ref="A105:C105"/>
    <mergeCell ref="A106:C106"/>
    <mergeCell ref="A107:C107"/>
    <mergeCell ref="A108:C108"/>
    <mergeCell ref="A109:C109"/>
    <mergeCell ref="A111:C111"/>
    <mergeCell ref="A99:C99"/>
    <mergeCell ref="A101:C101"/>
    <mergeCell ref="A102:C102"/>
    <mergeCell ref="A103:C103"/>
    <mergeCell ref="A82:C82"/>
    <mergeCell ref="A83:C83"/>
    <mergeCell ref="A98:H98"/>
    <mergeCell ref="A84:C84"/>
    <mergeCell ref="A85:C85"/>
    <mergeCell ref="A86:G86"/>
    <mergeCell ref="A100:C100"/>
    <mergeCell ref="A89:H89"/>
    <mergeCell ref="A90:C90"/>
    <mergeCell ref="A91:C91"/>
    <mergeCell ref="A92:C92"/>
    <mergeCell ref="A93:C93"/>
    <mergeCell ref="A94:C94"/>
    <mergeCell ref="A77:C77"/>
    <mergeCell ref="A78:C78"/>
    <mergeCell ref="A79:C79"/>
    <mergeCell ref="A80:C80"/>
    <mergeCell ref="A81:C81"/>
    <mergeCell ref="A69:C69"/>
    <mergeCell ref="A70:C70"/>
    <mergeCell ref="A71:C71"/>
    <mergeCell ref="A74:C74"/>
    <mergeCell ref="A76:C76"/>
    <mergeCell ref="A72:C72"/>
    <mergeCell ref="A73:C73"/>
    <mergeCell ref="A61:H61"/>
    <mergeCell ref="A68:C68"/>
    <mergeCell ref="A67:C67"/>
    <mergeCell ref="A62:C62"/>
    <mergeCell ref="A63:C63"/>
    <mergeCell ref="A64:C64"/>
    <mergeCell ref="A65:C65"/>
    <mergeCell ref="A66:C66"/>
    <mergeCell ref="A53:D53"/>
    <mergeCell ref="A55:H55"/>
    <mergeCell ref="A57:C57"/>
    <mergeCell ref="A58:C58"/>
    <mergeCell ref="A56:C56"/>
    <mergeCell ref="H57:H58"/>
    <mergeCell ref="A48:D48"/>
    <mergeCell ref="A49:D49"/>
    <mergeCell ref="A51:D51"/>
    <mergeCell ref="A52:D52"/>
    <mergeCell ref="A43:D43"/>
    <mergeCell ref="A44:D44"/>
    <mergeCell ref="A45:D45"/>
    <mergeCell ref="A46:D46"/>
    <mergeCell ref="A50:H50"/>
    <mergeCell ref="A4:D4"/>
    <mergeCell ref="A5:D5"/>
    <mergeCell ref="A6:D6"/>
    <mergeCell ref="A21:D21"/>
    <mergeCell ref="A11:H11"/>
    <mergeCell ref="F4:H9"/>
    <mergeCell ref="A9:D9"/>
    <mergeCell ref="A47:D47"/>
    <mergeCell ref="A7:D7"/>
    <mergeCell ref="A8:D8"/>
    <mergeCell ref="A12:C12"/>
    <mergeCell ref="A13:C13"/>
    <mergeCell ref="A14:C14"/>
    <mergeCell ref="A15:C15"/>
    <mergeCell ref="A16:C16"/>
    <mergeCell ref="A17:C17"/>
    <mergeCell ref="A18:C18"/>
    <mergeCell ref="A171:G171"/>
    <mergeCell ref="A154:C154"/>
    <mergeCell ref="A155:C155"/>
    <mergeCell ref="A151:G151"/>
    <mergeCell ref="A3:H3"/>
    <mergeCell ref="A20:H20"/>
    <mergeCell ref="A29:H29"/>
    <mergeCell ref="A42:H42"/>
    <mergeCell ref="A22:D22"/>
    <mergeCell ref="A23:D23"/>
    <mergeCell ref="A24:D24"/>
    <mergeCell ref="A25:D25"/>
    <mergeCell ref="A26:D26"/>
    <mergeCell ref="A27:D27"/>
    <mergeCell ref="A30:D30"/>
    <mergeCell ref="A31:D31"/>
    <mergeCell ref="A32:D32"/>
    <mergeCell ref="A34:C34"/>
    <mergeCell ref="A35:C35"/>
    <mergeCell ref="A36:C36"/>
    <mergeCell ref="A37:C37"/>
    <mergeCell ref="A38:C38"/>
    <mergeCell ref="A39:C39"/>
    <mergeCell ref="A40:C40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agricultura3</dc:creator>
  <cp:lastModifiedBy>agricultura3</cp:lastModifiedBy>
  <cp:lastPrinted>2022-08-19T13:17:47Z</cp:lastPrinted>
  <dcterms:created xsi:type="dcterms:W3CDTF">2022-08-11T12:43:51Z</dcterms:created>
  <dcterms:modified xsi:type="dcterms:W3CDTF">2022-09-28T12:33:51Z</dcterms:modified>
</cp:coreProperties>
</file>