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620" activeTab="0"/>
  </bookViews>
  <sheets>
    <sheet name="ORÇAMENTO" sheetId="1" r:id="rId1"/>
    <sheet name="CRONOGRAMA" sheetId="2" r:id="rId2"/>
    <sheet name="DMTs" sheetId="3" r:id="rId3"/>
    <sheet name="Planilha1" sheetId="4" r:id="rId4"/>
  </sheets>
  <definedNames>
    <definedName name="_xlnm.Print_Area" localSheetId="1">'CRONOGRAMA'!$A$1:$X$25</definedName>
    <definedName name="_xlnm.Print_Area" localSheetId="0">'ORÇAMENTO'!$A$1:$J$28</definedName>
    <definedName name="_xlnm.Print_Titles" localSheetId="0">'ORÇAMENTO'!$1:$6</definedName>
  </definedNames>
  <calcPr fullCalcOnLoad="1"/>
</workbook>
</file>

<file path=xl/sharedStrings.xml><?xml version="1.0" encoding="utf-8"?>
<sst xmlns="http://schemas.openxmlformats.org/spreadsheetml/2006/main" count="143" uniqueCount="105">
  <si>
    <t>Unid.</t>
  </si>
  <si>
    <t>Quant.</t>
  </si>
  <si>
    <t>SERVIÇOS PRELIMINARES</t>
  </si>
  <si>
    <t>Item</t>
  </si>
  <si>
    <t>PREÇOS (R$)</t>
  </si>
  <si>
    <t>Codigo</t>
  </si>
  <si>
    <t>Origem</t>
  </si>
  <si>
    <t>Discriminação dos serviços</t>
  </si>
  <si>
    <t>DER</t>
  </si>
  <si>
    <t>1.2</t>
  </si>
  <si>
    <t>PREÇO GLOBAL (R$)</t>
  </si>
  <si>
    <t xml:space="preserve">     </t>
  </si>
  <si>
    <t>m</t>
  </si>
  <si>
    <t>1.1</t>
  </si>
  <si>
    <t>Total</t>
  </si>
  <si>
    <t>2.1</t>
  </si>
  <si>
    <t>PROPRIEDADE: MUNICÍPIO DE RENASCENÇA</t>
  </si>
  <si>
    <t>CRONOGRAMA FÍSICO-FINANCEIRO</t>
  </si>
  <si>
    <t>SERVIÇOS</t>
  </si>
  <si>
    <t>MÊS 01</t>
  </si>
  <si>
    <t>% NO PERIODO</t>
  </si>
  <si>
    <t>MÊS 02</t>
  </si>
  <si>
    <t>MÊS 03</t>
  </si>
  <si>
    <t>MÊS 04</t>
  </si>
  <si>
    <t>VALOR</t>
  </si>
  <si>
    <t>ITEM</t>
  </si>
  <si>
    <t>ÍNDICE</t>
  </si>
  <si>
    <t>SERVIÇO</t>
  </si>
  <si>
    <t>C/ BDI</t>
  </si>
  <si>
    <t>TOTAL ACUMULADO COM O DESCONTO PROPOSTO</t>
  </si>
  <si>
    <t xml:space="preserve">VALOR DA PARCELA </t>
  </si>
  <si>
    <t>Pavimentada</t>
  </si>
  <si>
    <t>Não-Pavimentada</t>
  </si>
  <si>
    <t>Descrição</t>
  </si>
  <si>
    <t>Fator 01</t>
  </si>
  <si>
    <t>X1</t>
  </si>
  <si>
    <t>Fator 02</t>
  </si>
  <si>
    <t>X2</t>
  </si>
  <si>
    <t>Fator 03</t>
  </si>
  <si>
    <t>Código Composição</t>
  </si>
  <si>
    <t>Código Serviço</t>
  </si>
  <si>
    <t>Consumo</t>
  </si>
  <si>
    <t>2.2</t>
  </si>
  <si>
    <t>Placa sinalização c/ película refletiva</t>
  </si>
  <si>
    <t>Suporte de madeira 3"x3" p/ placa sinalização, h=3,00m</t>
  </si>
  <si>
    <t>BDI SERVIÇOS (%)</t>
  </si>
  <si>
    <t>Valor Unitário</t>
  </si>
  <si>
    <t>Valor Unitário com BDI</t>
  </si>
  <si>
    <t>Parcial</t>
  </si>
  <si>
    <t>Subtotal</t>
  </si>
  <si>
    <t>PLANILHA DE SERVIÇOS - EXECUÇÃO INDIRETA</t>
  </si>
  <si>
    <t>João Paulo Basniak Boese</t>
  </si>
  <si>
    <t>Eng. Civil - Crea/PR 134576/D</t>
  </si>
  <si>
    <t>OBRA: PAVIMENTAÇÃO POLIÉDRICA COM PEDRAS IRREGULARES</t>
  </si>
  <si>
    <t>PAVIMENTAÇÃO</t>
  </si>
  <si>
    <t>2.3</t>
  </si>
  <si>
    <t>2.4</t>
  </si>
  <si>
    <t>2.5</t>
  </si>
  <si>
    <t>2.6</t>
  </si>
  <si>
    <t>2.7</t>
  </si>
  <si>
    <t>2.8</t>
  </si>
  <si>
    <t>Colchão de argila p/ pav. poliédrico</t>
  </si>
  <si>
    <t xml:space="preserve">m2 </t>
  </si>
  <si>
    <t>Escarificação, regularização compac. Subleito</t>
  </si>
  <si>
    <t>Compactação de pavimento poliédrico</t>
  </si>
  <si>
    <t>Contenção lateral c/ solo local p/ pav. Poliédrico</t>
  </si>
  <si>
    <t>Enleivamento da contenção lateral</t>
  </si>
  <si>
    <t>cordão de pedra</t>
  </si>
  <si>
    <t>Assentamento do poliedro</t>
  </si>
  <si>
    <t>enchimento argila</t>
  </si>
  <si>
    <t>MÊS 05</t>
  </si>
  <si>
    <t>MÊS 06</t>
  </si>
  <si>
    <t>MÊS 07</t>
  </si>
  <si>
    <t>MÊS 08</t>
  </si>
  <si>
    <t>MÊS 09</t>
  </si>
  <si>
    <t>MÊS 10</t>
  </si>
  <si>
    <t>QUADRO ESTATÍSTICO</t>
  </si>
  <si>
    <t>Nome do Trecho</t>
  </si>
  <si>
    <t>Trecho</t>
  </si>
  <si>
    <t>Largura (m)</t>
  </si>
  <si>
    <t>Esntensão (m)</t>
  </si>
  <si>
    <t>Área da Obra (m²)</t>
  </si>
  <si>
    <t>Área de Pavimentação (n²)</t>
  </si>
  <si>
    <t>Cordão de Pedra (m)</t>
  </si>
  <si>
    <t>Área de Contenção Lateral (m²)</t>
  </si>
  <si>
    <t>Área de Enleivamento/grama (m²)</t>
  </si>
  <si>
    <t>Estrada Santana</t>
  </si>
  <si>
    <t>Linha Santana</t>
  </si>
  <si>
    <t>-</t>
  </si>
  <si>
    <t>Entroncamento</t>
  </si>
  <si>
    <t>Data Base: 28/02/2023 Sem Desoneração</t>
  </si>
  <si>
    <t>Extração, carga, transp. assent. cordão lat. pedra p/ pav. Poliédrico (DMT 27km)</t>
  </si>
  <si>
    <t>Extração, carga, transp. preparo e assentamento do poliedro (DMT 27km)</t>
  </si>
  <si>
    <t>Colchão de argila p/ pav. Poliédrico (DMT 2km)</t>
  </si>
  <si>
    <t>Enchimento c/ argila p/ pav. Poliédrico (DMT 2km)</t>
  </si>
  <si>
    <t xml:space="preserve">6,00 x 1.700,00 = 10.200,00 </t>
  </si>
  <si>
    <t>1.700,00 x 5,76 = 9.792,00</t>
  </si>
  <si>
    <t>1.700,00 x 2 = 3.400,00</t>
  </si>
  <si>
    <t>1.700,00 x 2 x 1,00  = 3.400,00</t>
  </si>
  <si>
    <t>(30,00 x 20,00 ) / 2= 300,00</t>
  </si>
  <si>
    <t>10.500,00</t>
  </si>
  <si>
    <t>10.092,00</t>
  </si>
  <si>
    <t>3.400,00</t>
  </si>
  <si>
    <t>TRECHO DA LINHA SANTANA - PROPRIEDADE: MUNICÍPIO DE RENASCENÇA (1,7KM - LARGURA 6,00M)</t>
  </si>
  <si>
    <t>Renascença - PR, 18 de Agosto de 2023.</t>
  </si>
</sst>
</file>

<file path=xl/styles.xml><?xml version="1.0" encoding="utf-8"?>
<styleSheet xmlns="http://schemas.openxmlformats.org/spreadsheetml/2006/main">
  <numFmts count="65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"/>
    <numFmt numFmtId="196" formatCode="#,#00"/>
    <numFmt numFmtId="197" formatCode="0.0%"/>
    <numFmt numFmtId="198" formatCode="[$€-2]\ #,##0.00_);[Red]\([$€-2]\ #,##0.00\)"/>
    <numFmt numFmtId="199" formatCode="0.000"/>
    <numFmt numFmtId="200" formatCode="&quot;Ativado&quot;;&quot;Ativado&quot;;&quot;Desativado&quot;"/>
    <numFmt numFmtId="201" formatCode="00"/>
    <numFmt numFmtId="202" formatCode="#,##0.00_);[Red]\-#,##0.00;"/>
    <numFmt numFmtId="203" formatCode="0.000000%"/>
    <numFmt numFmtId="204" formatCode="#,##0.00_ ;[Red]\-#,##0.00\ "/>
    <numFmt numFmtId="205" formatCode="0.000%"/>
    <numFmt numFmtId="206" formatCode="0.0000%"/>
    <numFmt numFmtId="207" formatCode="#,##0.00\ ;[Red]\(#,##0.00\)"/>
    <numFmt numFmtId="208" formatCode="[$-F800]dddd\,\ mmmm\ dd\,\ yyyy"/>
    <numFmt numFmtId="209" formatCode="[$-416]dddd\,\ d&quot; de &quot;mmmm&quot; de &quot;yyyy"/>
    <numFmt numFmtId="210" formatCode="_(* #,##0.000_);_(* \(#,##0.000\);_(* &quot;-&quot;??_);_(@_)"/>
    <numFmt numFmtId="211" formatCode="_(* #,##0.0000_);_(* \(#,##0.0000\);_(* &quot;-&quot;??_);_(@_)"/>
    <numFmt numFmtId="212" formatCode="0.00000%"/>
    <numFmt numFmtId="213" formatCode="0.0000000%"/>
    <numFmt numFmtId="214" formatCode="_-* #,##0.000_-;\-* #,##0.000_-;_-* &quot;-&quot;??_-;_-@_-"/>
    <numFmt numFmtId="215" formatCode="_-* #,##0.0000_-;\-* #,##0.0000_-;_-* &quot;-&quot;??_-;_-@_-"/>
    <numFmt numFmtId="216" formatCode="_-* #,##0.00000_-;\-* #,##0.00000_-;_-* &quot;-&quot;??_-;_-@_-"/>
    <numFmt numFmtId="217" formatCode="_-* #,##0.000000_-;\-* #,##0.000000_-;_-* &quot;-&quot;??_-;_-@_-"/>
    <numFmt numFmtId="218" formatCode="_-* #,##0.0000000_-;\-* #,##0.0000000_-;_-* &quot;-&quot;??_-;_-@_-"/>
    <numFmt numFmtId="219" formatCode="_-* #,##0.00000000_-;\-* #,##0.00000000_-;_-* &quot;-&quot;??_-;_-@_-"/>
    <numFmt numFmtId="220" formatCode="_-* #,##0.000_-;\-* #,##0.000_-;_-* &quot;-&quot;???_-;_-@_-"/>
  </numFmts>
  <fonts count="4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b/>
      <sz val="7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7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Helvetica"/>
      <family val="0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0000"/>
      <name val="Helvetica"/>
      <family val="0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top" wrapText="1"/>
    </xf>
    <xf numFmtId="201" fontId="6" fillId="33" borderId="11" xfId="50" applyNumberFormat="1" applyFont="1" applyFill="1" applyBorder="1" applyAlignment="1" applyProtection="1">
      <alignment horizontal="center" vertical="center" wrapText="1"/>
      <protection/>
    </xf>
    <xf numFmtId="10" fontId="7" fillId="34" borderId="11" xfId="50" applyNumberFormat="1" applyFont="1" applyFill="1" applyBorder="1" applyAlignment="1" applyProtection="1">
      <alignment horizontal="right" vertical="center" wrapText="1"/>
      <protection/>
    </xf>
    <xf numFmtId="202" fontId="7" fillId="34" borderId="11" xfId="50" applyNumberFormat="1" applyFont="1" applyFill="1" applyBorder="1" applyAlignment="1" applyProtection="1">
      <alignment horizontal="right" vertical="center" wrapText="1"/>
      <protection/>
    </xf>
    <xf numFmtId="10" fontId="7" fillId="33" borderId="11" xfId="50" applyNumberFormat="1" applyFont="1" applyFill="1" applyBorder="1" applyAlignment="1" applyProtection="1">
      <alignment horizontal="right" vertical="center" wrapText="1"/>
      <protection locked="0"/>
    </xf>
    <xf numFmtId="10" fontId="7" fillId="34" borderId="12" xfId="50" applyNumberFormat="1" applyFont="1" applyFill="1" applyBorder="1" applyAlignment="1" applyProtection="1">
      <alignment horizontal="right"/>
      <protection/>
    </xf>
    <xf numFmtId="202" fontId="7" fillId="34" borderId="12" xfId="50" applyNumberFormat="1" applyFont="1" applyFill="1" applyBorder="1" applyAlignment="1" applyProtection="1">
      <alignment horizontal="right"/>
      <protection/>
    </xf>
    <xf numFmtId="10" fontId="7" fillId="34" borderId="13" xfId="50" applyNumberFormat="1" applyFont="1" applyFill="1" applyBorder="1" applyAlignment="1" applyProtection="1" quotePrefix="1">
      <alignment horizontal="right"/>
      <protection/>
    </xf>
    <xf numFmtId="202" fontId="7" fillId="34" borderId="13" xfId="50" applyNumberFormat="1" applyFont="1" applyFill="1" applyBorder="1" applyAlignment="1" applyProtection="1">
      <alignment horizontal="right"/>
      <protection/>
    </xf>
    <xf numFmtId="202" fontId="7" fillId="34" borderId="13" xfId="50" applyNumberFormat="1" applyFont="1" applyFill="1" applyBorder="1" applyAlignment="1" applyProtection="1">
      <alignment horizontal="right"/>
      <protection locked="0"/>
    </xf>
    <xf numFmtId="202" fontId="9" fillId="34" borderId="12" xfId="50" applyNumberFormat="1" applyFont="1" applyFill="1" applyBorder="1" applyAlignment="1" applyProtection="1">
      <alignment horizontal="right"/>
      <protection/>
    </xf>
    <xf numFmtId="184" fontId="0" fillId="0" borderId="0" xfId="45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96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vertical="top" wrapText="1"/>
    </xf>
    <xf numFmtId="4" fontId="1" fillId="0" borderId="14" xfId="0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4" fontId="46" fillId="0" borderId="0" xfId="0" applyNumberFormat="1" applyFont="1" applyFill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4" fontId="0" fillId="0" borderId="10" xfId="0" applyNumberFormat="1" applyFill="1" applyBorder="1" applyAlignment="1">
      <alignment vertical="top" wrapText="1"/>
    </xf>
    <xf numFmtId="4" fontId="0" fillId="0" borderId="14" xfId="0" applyNumberFormat="1" applyFill="1" applyBorder="1" applyAlignment="1">
      <alignment vertical="top" wrapText="1"/>
    </xf>
    <xf numFmtId="4" fontId="0" fillId="0" borderId="0" xfId="0" applyNumberFormat="1" applyFill="1" applyBorder="1" applyAlignment="1">
      <alignment vertical="top" wrapText="1"/>
    </xf>
    <xf numFmtId="4" fontId="0" fillId="0" borderId="0" xfId="0" applyNumberFormat="1" applyFill="1" applyBorder="1" applyAlignment="1">
      <alignment/>
    </xf>
    <xf numFmtId="0" fontId="47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1" fillId="0" borderId="10" xfId="0" applyNumberFormat="1" applyFont="1" applyFill="1" applyBorder="1" applyAlignment="1">
      <alignment horizontal="left" vertical="top" wrapText="1"/>
    </xf>
    <xf numFmtId="10" fontId="0" fillId="0" borderId="0" xfId="0" applyNumberFormat="1" applyFill="1" applyAlignment="1">
      <alignment/>
    </xf>
    <xf numFmtId="10" fontId="0" fillId="0" borderId="0" xfId="52" applyNumberFormat="1" applyFont="1" applyFill="1" applyAlignment="1">
      <alignment/>
    </xf>
    <xf numFmtId="4" fontId="1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 horizontal="right"/>
    </xf>
    <xf numFmtId="184" fontId="1" fillId="0" borderId="10" xfId="45" applyFont="1" applyFill="1" applyBorder="1" applyAlignment="1">
      <alignment vertical="top" wrapText="1"/>
    </xf>
    <xf numFmtId="184" fontId="0" fillId="0" borderId="10" xfId="45" applyFont="1" applyFill="1" applyBorder="1" applyAlignment="1">
      <alignment vertical="top" wrapText="1"/>
    </xf>
    <xf numFmtId="184" fontId="1" fillId="0" borderId="0" xfId="45" applyFont="1" applyFill="1" applyBorder="1" applyAlignment="1">
      <alignment vertical="top" wrapText="1"/>
    </xf>
    <xf numFmtId="184" fontId="0" fillId="0" borderId="0" xfId="45" applyFont="1" applyFill="1" applyAlignment="1">
      <alignment/>
    </xf>
    <xf numFmtId="184" fontId="0" fillId="0" borderId="0" xfId="45" applyFont="1" applyFill="1" applyAlignment="1">
      <alignment horizontal="right"/>
    </xf>
    <xf numFmtId="0" fontId="47" fillId="0" borderId="10" xfId="0" applyFont="1" applyBorder="1" applyAlignment="1">
      <alignment vertical="center" wrapText="1"/>
    </xf>
    <xf numFmtId="0" fontId="0" fillId="0" borderId="15" xfId="0" applyFill="1" applyBorder="1" applyAlignment="1">
      <alignment/>
    </xf>
    <xf numFmtId="0" fontId="0" fillId="0" borderId="0" xfId="0" applyFont="1" applyFill="1" applyAlignment="1">
      <alignment/>
    </xf>
    <xf numFmtId="0" fontId="47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top" wrapText="1"/>
    </xf>
    <xf numFmtId="0" fontId="47" fillId="0" borderId="10" xfId="0" applyFont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top" wrapText="1"/>
    </xf>
    <xf numFmtId="0" fontId="47" fillId="0" borderId="0" xfId="0" applyFont="1" applyAlignment="1">
      <alignment wrapText="1"/>
    </xf>
    <xf numFmtId="201" fontId="3" fillId="33" borderId="11" xfId="50" applyNumberFormat="1" applyFont="1" applyFill="1" applyBorder="1" applyAlignment="1" applyProtection="1">
      <alignment horizontal="center" vertical="center" wrapText="1"/>
      <protection/>
    </xf>
    <xf numFmtId="10" fontId="9" fillId="34" borderId="11" xfId="50" applyNumberFormat="1" applyFont="1" applyFill="1" applyBorder="1" applyAlignment="1" applyProtection="1">
      <alignment horizontal="right" vertical="center" wrapText="1"/>
      <protection/>
    </xf>
    <xf numFmtId="202" fontId="9" fillId="34" borderId="11" xfId="50" applyNumberFormat="1" applyFont="1" applyFill="1" applyBorder="1" applyAlignment="1" applyProtection="1">
      <alignment horizontal="right" vertical="center" wrapText="1"/>
      <protection/>
    </xf>
    <xf numFmtId="10" fontId="9" fillId="33" borderId="11" xfId="5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201" fontId="3" fillId="33" borderId="11" xfId="50" applyNumberFormat="1" applyFont="1" applyFill="1" applyBorder="1" applyAlignment="1" applyProtection="1">
      <alignment horizontal="left" vertical="center" wrapText="1"/>
      <protection/>
    </xf>
    <xf numFmtId="201" fontId="6" fillId="33" borderId="11" xfId="5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Alignment="1">
      <alignment/>
    </xf>
    <xf numFmtId="201" fontId="3" fillId="33" borderId="16" xfId="50" applyNumberFormat="1" applyFont="1" applyFill="1" applyBorder="1" applyAlignment="1" applyProtection="1">
      <alignment horizontal="center" vertical="center" wrapText="1"/>
      <protection/>
    </xf>
    <xf numFmtId="201" fontId="3" fillId="33" borderId="16" xfId="50" applyNumberFormat="1" applyFont="1" applyFill="1" applyBorder="1" applyAlignment="1" applyProtection="1">
      <alignment horizontal="left" vertical="center" wrapText="1"/>
      <protection/>
    </xf>
    <xf numFmtId="10" fontId="9" fillId="34" borderId="16" xfId="50" applyNumberFormat="1" applyFont="1" applyFill="1" applyBorder="1" applyAlignment="1" applyProtection="1">
      <alignment horizontal="right" vertical="center" wrapText="1"/>
      <protection/>
    </xf>
    <xf numFmtId="202" fontId="9" fillId="34" borderId="16" xfId="50" applyNumberFormat="1" applyFont="1" applyFill="1" applyBorder="1" applyAlignment="1" applyProtection="1">
      <alignment horizontal="right" vertical="center" wrapText="1"/>
      <protection/>
    </xf>
    <xf numFmtId="10" fontId="9" fillId="33" borderId="16" xfId="5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5" fontId="0" fillId="0" borderId="10" xfId="65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84" fontId="1" fillId="0" borderId="0" xfId="45" applyFont="1" applyFill="1" applyBorder="1" applyAlignment="1">
      <alignment/>
    </xf>
    <xf numFmtId="184" fontId="0" fillId="0" borderId="10" xfId="45" applyFont="1" applyFill="1" applyBorder="1" applyAlignment="1">
      <alignment vertical="top" wrapText="1"/>
    </xf>
    <xf numFmtId="185" fontId="0" fillId="0" borderId="10" xfId="65" applyFont="1" applyFill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0" fontId="4" fillId="34" borderId="17" xfId="50" applyNumberFormat="1" applyFont="1" applyFill="1" applyBorder="1" applyAlignment="1" applyProtection="1">
      <alignment horizontal="center"/>
      <protection/>
    </xf>
    <xf numFmtId="15" fontId="4" fillId="34" borderId="19" xfId="50" applyNumberFormat="1" applyFont="1" applyFill="1" applyBorder="1" applyAlignment="1" applyProtection="1">
      <alignment horizontal="center" vertical="center"/>
      <protection/>
    </xf>
    <xf numFmtId="15" fontId="4" fillId="34" borderId="20" xfId="5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85" fontId="0" fillId="0" borderId="22" xfId="65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35" borderId="0" xfId="0" applyFont="1" applyFill="1" applyAlignment="1">
      <alignment wrapText="1"/>
    </xf>
    <xf numFmtId="0" fontId="0" fillId="35" borderId="0" xfId="0" applyFont="1" applyFill="1" applyAlignment="1">
      <alignment/>
    </xf>
    <xf numFmtId="184" fontId="0" fillId="35" borderId="0" xfId="45" applyFont="1" applyFill="1" applyAlignment="1">
      <alignment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184" fontId="0" fillId="35" borderId="0" xfId="45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45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4" fontId="1" fillId="0" borderId="10" xfId="45" applyFont="1" applyFill="1" applyBorder="1" applyAlignment="1">
      <alignment horizontal="center"/>
    </xf>
    <xf numFmtId="184" fontId="1" fillId="0" borderId="10" xfId="45" applyFont="1" applyFill="1" applyBorder="1" applyAlignment="1">
      <alignment horizontal="center"/>
    </xf>
    <xf numFmtId="184" fontId="1" fillId="0" borderId="10" xfId="45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1" fontId="3" fillId="34" borderId="10" xfId="50" applyNumberFormat="1" applyFont="1" applyFill="1" applyBorder="1" applyAlignment="1" applyProtection="1">
      <alignment horizontal="center" vertical="center"/>
      <protection locked="0"/>
    </xf>
    <xf numFmtId="10" fontId="5" fillId="34" borderId="10" xfId="5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49" fontId="8" fillId="34" borderId="12" xfId="50" applyNumberFormat="1" applyFont="1" applyFill="1" applyBorder="1" applyAlignment="1" applyProtection="1">
      <alignment horizontal="center" vertical="center"/>
      <protection/>
    </xf>
    <xf numFmtId="49" fontId="8" fillId="34" borderId="13" xfId="50" applyNumberFormat="1" applyFont="1" applyFill="1" applyBorder="1" applyAlignment="1" applyProtection="1">
      <alignment horizontal="center" vertical="center"/>
      <protection/>
    </xf>
    <xf numFmtId="201" fontId="3" fillId="34" borderId="10" xfId="50" applyNumberFormat="1" applyFont="1" applyFill="1" applyBorder="1" applyAlignment="1" applyProtection="1">
      <alignment horizontal="center" vertical="center"/>
      <protection/>
    </xf>
    <xf numFmtId="15" fontId="3" fillId="34" borderId="10" xfId="5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48" fillId="0" borderId="10" xfId="0" applyFont="1" applyBorder="1" applyAlignment="1">
      <alignment horizontal="center" vertical="top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_SEJU" xfId="50"/>
    <cellStyle name="Nota" xfId="51"/>
    <cellStyle name="Percent" xfId="52"/>
    <cellStyle name="Porcentagem 2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800100</xdr:colOff>
      <xdr:row>3</xdr:row>
      <xdr:rowOff>123825</xdr:rowOff>
    </xdr:from>
    <xdr:to>
      <xdr:col>1</xdr:col>
      <xdr:colOff>800100</xdr:colOff>
      <xdr:row>14</xdr:row>
      <xdr:rowOff>180975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809625"/>
          <a:ext cx="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Q28"/>
  <sheetViews>
    <sheetView tabSelected="1" view="pageBreakPreview" zoomScaleSheetLayoutView="100" zoomScalePageLayoutView="0" workbookViewId="0" topLeftCell="A1">
      <selection activeCell="L19" sqref="L19"/>
    </sheetView>
  </sheetViews>
  <sheetFormatPr defaultColWidth="9.140625" defaultRowHeight="12.75"/>
  <cols>
    <col min="1" max="1" width="5.00390625" style="18" bestFit="1" customWidth="1"/>
    <col min="2" max="2" width="8.57421875" style="18" customWidth="1"/>
    <col min="3" max="3" width="7.7109375" style="18" bestFit="1" customWidth="1"/>
    <col min="4" max="4" width="49.421875" style="18" customWidth="1"/>
    <col min="5" max="5" width="5.7109375" style="21" bestFit="1" customWidth="1"/>
    <col min="6" max="6" width="9.57421875" style="19" bestFit="1" customWidth="1"/>
    <col min="7" max="7" width="18.28125" style="54" customWidth="1"/>
    <col min="8" max="8" width="13.8515625" style="54" customWidth="1"/>
    <col min="9" max="9" width="14.57421875" style="54" bestFit="1" customWidth="1"/>
    <col min="10" max="10" width="17.28125" style="54" customWidth="1"/>
    <col min="11" max="12" width="11.8515625" style="19" customWidth="1"/>
    <col min="13" max="13" width="9.140625" style="18" customWidth="1"/>
    <col min="14" max="14" width="14.421875" style="19" bestFit="1" customWidth="1"/>
    <col min="15" max="15" width="13.421875" style="18" bestFit="1" customWidth="1"/>
    <col min="16" max="16" width="15.7109375" style="18" customWidth="1"/>
    <col min="17" max="17" width="11.7109375" style="18" bestFit="1" customWidth="1"/>
    <col min="18" max="16384" width="9.140625" style="18" customWidth="1"/>
  </cols>
  <sheetData>
    <row r="1" spans="1:12" ht="12.75">
      <c r="A1" s="115" t="s">
        <v>50</v>
      </c>
      <c r="B1" s="115"/>
      <c r="C1" s="115"/>
      <c r="D1" s="115"/>
      <c r="E1" s="115"/>
      <c r="F1" s="115"/>
      <c r="G1" s="115"/>
      <c r="H1" s="115"/>
      <c r="I1" s="115"/>
      <c r="J1" s="115"/>
      <c r="K1" s="17"/>
      <c r="L1" s="17"/>
    </row>
    <row r="2" spans="1:12" ht="12.75">
      <c r="A2" s="111" t="s">
        <v>53</v>
      </c>
      <c r="B2" s="111"/>
      <c r="C2" s="111"/>
      <c r="D2" s="111"/>
      <c r="E2" s="111"/>
      <c r="F2" s="111"/>
      <c r="G2" s="111"/>
      <c r="H2" s="111"/>
      <c r="I2" s="111"/>
      <c r="J2" s="111"/>
      <c r="K2" s="20"/>
      <c r="L2" s="20"/>
    </row>
    <row r="3" spans="1:12" ht="12.75">
      <c r="A3" s="111" t="s">
        <v>103</v>
      </c>
      <c r="B3" s="112"/>
      <c r="C3" s="112"/>
      <c r="D3" s="112"/>
      <c r="E3" s="112"/>
      <c r="F3" s="112"/>
      <c r="G3" s="112"/>
      <c r="H3" s="112"/>
      <c r="I3" s="112"/>
      <c r="J3" s="112"/>
      <c r="K3" s="20"/>
      <c r="L3" s="20"/>
    </row>
    <row r="4" spans="1:12" ht="12.75">
      <c r="A4" s="113" t="s">
        <v>3</v>
      </c>
      <c r="B4" s="113" t="s">
        <v>5</v>
      </c>
      <c r="C4" s="113" t="s">
        <v>6</v>
      </c>
      <c r="D4" s="113" t="s">
        <v>7</v>
      </c>
      <c r="E4" s="117" t="s">
        <v>0</v>
      </c>
      <c r="F4" s="121" t="s">
        <v>1</v>
      </c>
      <c r="G4" s="118" t="s">
        <v>4</v>
      </c>
      <c r="H4" s="118"/>
      <c r="I4" s="119"/>
      <c r="J4" s="119"/>
      <c r="K4" s="22"/>
      <c r="L4" s="22"/>
    </row>
    <row r="5" spans="1:12" ht="12.75">
      <c r="A5" s="113"/>
      <c r="B5" s="113"/>
      <c r="C5" s="113"/>
      <c r="D5" s="113"/>
      <c r="E5" s="117"/>
      <c r="F5" s="121"/>
      <c r="G5" s="120" t="s">
        <v>46</v>
      </c>
      <c r="H5" s="120" t="s">
        <v>47</v>
      </c>
      <c r="I5" s="120" t="s">
        <v>48</v>
      </c>
      <c r="J5" s="114" t="s">
        <v>49</v>
      </c>
      <c r="K5" s="23"/>
      <c r="L5" s="24"/>
    </row>
    <row r="6" spans="1:12" ht="12.75">
      <c r="A6" s="116"/>
      <c r="B6" s="113"/>
      <c r="C6" s="113"/>
      <c r="D6" s="116"/>
      <c r="E6" s="117"/>
      <c r="F6" s="121"/>
      <c r="G6" s="120"/>
      <c r="H6" s="120"/>
      <c r="I6" s="120"/>
      <c r="J6" s="114"/>
      <c r="K6" s="23"/>
      <c r="L6" s="24"/>
    </row>
    <row r="7" spans="1:14" s="31" customFormat="1" ht="12.75">
      <c r="A7" s="25">
        <v>1</v>
      </c>
      <c r="B7" s="26"/>
      <c r="C7" s="25"/>
      <c r="D7" s="25" t="s">
        <v>2</v>
      </c>
      <c r="E7" s="27" t="s">
        <v>11</v>
      </c>
      <c r="F7" s="28"/>
      <c r="G7" s="51"/>
      <c r="H7" s="51"/>
      <c r="I7" s="51"/>
      <c r="J7" s="51">
        <f>SUM(I8:I9)</f>
        <v>4697.3</v>
      </c>
      <c r="K7" s="29"/>
      <c r="L7" s="30"/>
      <c r="N7" s="32"/>
    </row>
    <row r="8" spans="1:14" s="31" customFormat="1" ht="12.75">
      <c r="A8" s="33" t="s">
        <v>13</v>
      </c>
      <c r="B8" s="59">
        <v>820000</v>
      </c>
      <c r="C8" s="33" t="s">
        <v>8</v>
      </c>
      <c r="D8" s="41" t="s">
        <v>43</v>
      </c>
      <c r="E8" s="42" t="s">
        <v>62</v>
      </c>
      <c r="F8" s="37">
        <v>6</v>
      </c>
      <c r="G8" s="52">
        <v>542.3</v>
      </c>
      <c r="H8" s="52">
        <f>(G8*(1+$H$21/100))</f>
        <v>649.0788699999999</v>
      </c>
      <c r="I8" s="52">
        <f>ROUND(F8*H8,2)</f>
        <v>3894.47</v>
      </c>
      <c r="J8" s="52"/>
      <c r="K8" s="38"/>
      <c r="L8" s="39"/>
      <c r="N8" s="40"/>
    </row>
    <row r="9" spans="1:14" s="31" customFormat="1" ht="12.75">
      <c r="A9" s="33" t="s">
        <v>9</v>
      </c>
      <c r="B9" s="59">
        <v>821000</v>
      </c>
      <c r="C9" s="33" t="s">
        <v>8</v>
      </c>
      <c r="D9" s="41" t="s">
        <v>44</v>
      </c>
      <c r="E9" s="42" t="s">
        <v>0</v>
      </c>
      <c r="F9" s="37">
        <v>4</v>
      </c>
      <c r="G9" s="52">
        <v>167.69</v>
      </c>
      <c r="H9" s="52">
        <f aca="true" t="shared" si="0" ref="H9:H18">(G9*(1+$H$21/100))</f>
        <v>200.70816100000002</v>
      </c>
      <c r="I9" s="52">
        <f>ROUND(F9*H9,2)</f>
        <v>802.83</v>
      </c>
      <c r="J9" s="52"/>
      <c r="K9" s="38"/>
      <c r="L9" s="39"/>
      <c r="N9" s="40"/>
    </row>
    <row r="10" spans="1:14" s="31" customFormat="1" ht="12.75">
      <c r="A10" s="25">
        <v>2</v>
      </c>
      <c r="B10" s="60"/>
      <c r="C10" s="25"/>
      <c r="D10" s="25" t="s">
        <v>54</v>
      </c>
      <c r="E10" s="27" t="s">
        <v>11</v>
      </c>
      <c r="F10" s="28"/>
      <c r="G10" s="52"/>
      <c r="H10" s="52"/>
      <c r="I10" s="52"/>
      <c r="J10" s="51">
        <f>SUM(I11:I18)</f>
        <v>579062.46</v>
      </c>
      <c r="K10" s="38"/>
      <c r="L10" s="39"/>
      <c r="N10" s="43"/>
    </row>
    <row r="11" spans="1:14" s="31" customFormat="1" ht="12.75">
      <c r="A11" s="35" t="s">
        <v>15</v>
      </c>
      <c r="B11" s="61">
        <v>532600</v>
      </c>
      <c r="C11" s="33" t="s">
        <v>8</v>
      </c>
      <c r="D11" s="56" t="s">
        <v>93</v>
      </c>
      <c r="E11" s="42" t="s">
        <v>62</v>
      </c>
      <c r="F11" s="37">
        <v>10500</v>
      </c>
      <c r="G11" s="52">
        <f>2.41+DMTs!J4</f>
        <v>3.43</v>
      </c>
      <c r="H11" s="52">
        <f t="shared" si="0"/>
        <v>4.105367</v>
      </c>
      <c r="I11" s="52">
        <f aca="true" t="shared" si="1" ref="I11:I18">ROUND(F11*H11,2)</f>
        <v>43106.35</v>
      </c>
      <c r="J11" s="51"/>
      <c r="K11" s="38"/>
      <c r="L11" s="39"/>
      <c r="N11" s="40"/>
    </row>
    <row r="12" spans="1:14" s="31" customFormat="1" ht="12.75">
      <c r="A12" s="35" t="s">
        <v>42</v>
      </c>
      <c r="B12" s="61">
        <v>500000</v>
      </c>
      <c r="C12" s="33" t="s">
        <v>8</v>
      </c>
      <c r="D12" s="56" t="s">
        <v>63</v>
      </c>
      <c r="E12" s="42" t="s">
        <v>62</v>
      </c>
      <c r="F12" s="37"/>
      <c r="G12" s="52">
        <v>4.28</v>
      </c>
      <c r="H12" s="52">
        <f t="shared" si="0"/>
        <v>5.122732000000001</v>
      </c>
      <c r="I12" s="52">
        <f t="shared" si="1"/>
        <v>0</v>
      </c>
      <c r="J12" s="51"/>
      <c r="K12" s="38"/>
      <c r="L12" s="39"/>
      <c r="N12" s="40"/>
    </row>
    <row r="13" spans="1:14" s="31" customFormat="1" ht="25.5">
      <c r="A13" s="35" t="s">
        <v>55</v>
      </c>
      <c r="B13" s="62">
        <v>535200</v>
      </c>
      <c r="C13" s="33" t="s">
        <v>8</v>
      </c>
      <c r="D13" s="63" t="s">
        <v>91</v>
      </c>
      <c r="E13" s="42" t="s">
        <v>12</v>
      </c>
      <c r="F13" s="37">
        <v>3400</v>
      </c>
      <c r="G13" s="52">
        <f>((25/35)*(11.65+DMTs!J8))</f>
        <v>9.942857142857143</v>
      </c>
      <c r="H13" s="52">
        <f t="shared" si="0"/>
        <v>11.900605714285716</v>
      </c>
      <c r="I13" s="52">
        <f t="shared" si="1"/>
        <v>40462.06</v>
      </c>
      <c r="J13" s="51"/>
      <c r="K13" s="29"/>
      <c r="L13" s="39"/>
      <c r="N13" s="40"/>
    </row>
    <row r="14" spans="1:14" s="31" customFormat="1" ht="25.5">
      <c r="A14" s="35" t="s">
        <v>56</v>
      </c>
      <c r="B14" s="61">
        <v>521450</v>
      </c>
      <c r="C14" s="33" t="s">
        <v>8</v>
      </c>
      <c r="D14" s="56" t="s">
        <v>92</v>
      </c>
      <c r="E14" s="42" t="s">
        <v>62</v>
      </c>
      <c r="F14" s="37">
        <v>10092</v>
      </c>
      <c r="G14" s="52">
        <f>25.31+DMTs!J12</f>
        <v>34.89</v>
      </c>
      <c r="H14" s="52">
        <f t="shared" si="0"/>
        <v>41.759841</v>
      </c>
      <c r="I14" s="52">
        <f t="shared" si="1"/>
        <v>421440.32</v>
      </c>
      <c r="J14" s="51"/>
      <c r="K14" s="44"/>
      <c r="L14" s="39"/>
      <c r="N14" s="40"/>
    </row>
    <row r="15" spans="1:14" s="31" customFormat="1" ht="12.75">
      <c r="A15" s="35" t="s">
        <v>57</v>
      </c>
      <c r="B15" s="61">
        <v>532650</v>
      </c>
      <c r="C15" s="33" t="s">
        <v>8</v>
      </c>
      <c r="D15" s="56" t="s">
        <v>94</v>
      </c>
      <c r="E15" s="42" t="s">
        <v>62</v>
      </c>
      <c r="F15" s="37">
        <v>10092</v>
      </c>
      <c r="G15" s="52">
        <f>1.12+DMTs!J15</f>
        <v>1.34</v>
      </c>
      <c r="H15" s="52">
        <f t="shared" si="0"/>
        <v>1.603846</v>
      </c>
      <c r="I15" s="52">
        <f t="shared" si="1"/>
        <v>16186.01</v>
      </c>
      <c r="J15" s="51"/>
      <c r="K15" s="44"/>
      <c r="L15" s="39"/>
      <c r="N15" s="40"/>
    </row>
    <row r="16" spans="1:14" s="31" customFormat="1" ht="12.75">
      <c r="A16" s="35" t="s">
        <v>58</v>
      </c>
      <c r="B16" s="61">
        <v>532700</v>
      </c>
      <c r="C16" s="33" t="s">
        <v>8</v>
      </c>
      <c r="D16" s="56" t="s">
        <v>64</v>
      </c>
      <c r="E16" s="42" t="s">
        <v>62</v>
      </c>
      <c r="F16" s="37"/>
      <c r="G16" s="52">
        <v>0.65</v>
      </c>
      <c r="H16" s="52">
        <f t="shared" si="0"/>
        <v>0.777985</v>
      </c>
      <c r="I16" s="52">
        <f t="shared" si="1"/>
        <v>0</v>
      </c>
      <c r="J16" s="51"/>
      <c r="K16" s="44"/>
      <c r="L16" s="39"/>
      <c r="N16" s="40"/>
    </row>
    <row r="17" spans="1:14" s="31" customFormat="1" ht="12.75">
      <c r="A17" s="35" t="s">
        <v>59</v>
      </c>
      <c r="B17" s="61">
        <v>575100</v>
      </c>
      <c r="C17" s="33" t="s">
        <v>8</v>
      </c>
      <c r="D17" s="56" t="s">
        <v>65</v>
      </c>
      <c r="E17" s="42" t="s">
        <v>62</v>
      </c>
      <c r="F17" s="37">
        <f>F13</f>
        <v>3400</v>
      </c>
      <c r="G17" s="52">
        <v>1.81</v>
      </c>
      <c r="H17" s="52">
        <f t="shared" si="0"/>
        <v>2.166389</v>
      </c>
      <c r="I17" s="52">
        <f t="shared" si="1"/>
        <v>7365.72</v>
      </c>
      <c r="J17" s="51"/>
      <c r="K17" s="44"/>
      <c r="L17" s="39"/>
      <c r="N17" s="40"/>
    </row>
    <row r="18" spans="1:14" s="31" customFormat="1" ht="12.75">
      <c r="A18" s="35" t="s">
        <v>60</v>
      </c>
      <c r="B18" s="61">
        <v>800000</v>
      </c>
      <c r="C18" s="33" t="s">
        <v>8</v>
      </c>
      <c r="D18" s="56" t="s">
        <v>66</v>
      </c>
      <c r="E18" s="42" t="s">
        <v>62</v>
      </c>
      <c r="F18" s="37">
        <f>F13</f>
        <v>3400</v>
      </c>
      <c r="G18" s="52">
        <v>12.41</v>
      </c>
      <c r="H18" s="52">
        <f t="shared" si="0"/>
        <v>14.853529000000002</v>
      </c>
      <c r="I18" s="52">
        <f t="shared" si="1"/>
        <v>50502</v>
      </c>
      <c r="J18" s="51"/>
      <c r="K18" s="44"/>
      <c r="L18" s="39"/>
      <c r="N18" s="40"/>
    </row>
    <row r="19" spans="1:14" s="31" customFormat="1" ht="12.75">
      <c r="A19" s="35"/>
      <c r="B19" s="34"/>
      <c r="C19" s="35"/>
      <c r="D19" s="41"/>
      <c r="E19" s="42"/>
      <c r="F19" s="37"/>
      <c r="G19" s="52"/>
      <c r="H19" s="52"/>
      <c r="I19" s="52"/>
      <c r="J19" s="52"/>
      <c r="K19" s="44"/>
      <c r="L19" s="39"/>
      <c r="N19" s="40"/>
    </row>
    <row r="20" spans="1:17" ht="12.75">
      <c r="A20" s="1"/>
      <c r="B20" s="1"/>
      <c r="C20" s="1"/>
      <c r="D20" s="45" t="s">
        <v>10</v>
      </c>
      <c r="E20" s="36"/>
      <c r="F20" s="37"/>
      <c r="G20" s="52"/>
      <c r="H20" s="52"/>
      <c r="I20" s="51" t="s">
        <v>14</v>
      </c>
      <c r="J20" s="51">
        <f>SUM(J7:J18)</f>
        <v>583759.76</v>
      </c>
      <c r="K20" s="30"/>
      <c r="L20" s="30"/>
      <c r="O20" s="46"/>
      <c r="P20" s="19"/>
      <c r="Q20" s="47"/>
    </row>
    <row r="21" spans="1:17" ht="25.5">
      <c r="A21" s="16"/>
      <c r="B21" s="16"/>
      <c r="C21" s="16"/>
      <c r="D21" s="48"/>
      <c r="E21" s="49"/>
      <c r="F21" s="39"/>
      <c r="G21" s="86" t="s">
        <v>45</v>
      </c>
      <c r="H21" s="87">
        <v>19.69</v>
      </c>
      <c r="I21" s="53"/>
      <c r="J21" s="53"/>
      <c r="K21" s="30"/>
      <c r="L21" s="30"/>
      <c r="O21" s="46"/>
      <c r="P21" s="19"/>
      <c r="Q21" s="47"/>
    </row>
    <row r="22" spans="2:16" ht="12.75">
      <c r="B22" s="58" t="s">
        <v>90</v>
      </c>
      <c r="G22" s="85"/>
      <c r="H22" s="85"/>
      <c r="K22" s="50"/>
      <c r="L22" s="50"/>
      <c r="O22" s="19"/>
      <c r="P22" s="19"/>
    </row>
    <row r="23" spans="15:17" ht="12.75">
      <c r="O23" s="19"/>
      <c r="P23" s="19"/>
      <c r="Q23" s="19"/>
    </row>
    <row r="24" spans="10:16" ht="12.75">
      <c r="J24" s="55" t="s">
        <v>104</v>
      </c>
      <c r="P24" s="19"/>
    </row>
    <row r="26" ht="12.75">
      <c r="D26" s="57"/>
    </row>
    <row r="27" ht="12.75">
      <c r="D27" s="21" t="s">
        <v>51</v>
      </c>
    </row>
    <row r="28" ht="12.75">
      <c r="D28" s="21" t="s">
        <v>52</v>
      </c>
    </row>
  </sheetData>
  <sheetProtection/>
  <mergeCells count="14">
    <mergeCell ref="H5:H6"/>
    <mergeCell ref="F4:F6"/>
    <mergeCell ref="G5:G6"/>
    <mergeCell ref="I5:I6"/>
    <mergeCell ref="A2:J2"/>
    <mergeCell ref="A3:J3"/>
    <mergeCell ref="C4:C6"/>
    <mergeCell ref="J5:J6"/>
    <mergeCell ref="A1:J1"/>
    <mergeCell ref="A4:A6"/>
    <mergeCell ref="D4:D6"/>
    <mergeCell ref="E4:E6"/>
    <mergeCell ref="G4:J4"/>
    <mergeCell ref="B4:B6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view="pageBreakPreview" zoomScaleNormal="145" zoomScaleSheetLayoutView="100" zoomScalePageLayoutView="0" workbookViewId="0" topLeftCell="A1">
      <selection activeCell="Y11" sqref="Y11"/>
    </sheetView>
  </sheetViews>
  <sheetFormatPr defaultColWidth="9.140625" defaultRowHeight="12.75"/>
  <cols>
    <col min="1" max="1" width="4.28125" style="0" bestFit="1" customWidth="1"/>
    <col min="2" max="2" width="39.140625" style="69" bestFit="1" customWidth="1"/>
    <col min="3" max="3" width="7.7109375" style="0" bestFit="1" customWidth="1"/>
    <col min="4" max="4" width="10.421875" style="0" bestFit="1" customWidth="1"/>
    <col min="5" max="5" width="12.7109375" style="0" bestFit="1" customWidth="1"/>
    <col min="6" max="6" width="11.8515625" style="0" bestFit="1" customWidth="1"/>
    <col min="7" max="7" width="12.7109375" style="0" bestFit="1" customWidth="1"/>
    <col min="8" max="8" width="11.8515625" style="0" bestFit="1" customWidth="1"/>
    <col min="9" max="9" width="12.7109375" style="0" bestFit="1" customWidth="1"/>
    <col min="10" max="10" width="11.8515625" style="0" bestFit="1" customWidth="1"/>
    <col min="11" max="11" width="12.7109375" style="0" bestFit="1" customWidth="1"/>
    <col min="12" max="12" width="11.8515625" style="0" bestFit="1" customWidth="1"/>
    <col min="13" max="13" width="12.7109375" style="0" bestFit="1" customWidth="1"/>
    <col min="14" max="14" width="11.8515625" style="0" bestFit="1" customWidth="1"/>
    <col min="15" max="15" width="12.7109375" style="0" bestFit="1" customWidth="1"/>
    <col min="16" max="16" width="11.8515625" style="0" bestFit="1" customWidth="1"/>
    <col min="17" max="17" width="12.7109375" style="0" bestFit="1" customWidth="1"/>
    <col min="18" max="18" width="11.8515625" style="0" bestFit="1" customWidth="1"/>
    <col min="19" max="19" width="12.7109375" style="0" bestFit="1" customWidth="1"/>
    <col min="20" max="20" width="11.8515625" style="0" bestFit="1" customWidth="1"/>
    <col min="21" max="21" width="12.7109375" style="0" bestFit="1" customWidth="1"/>
    <col min="22" max="22" width="11.8515625" style="0" bestFit="1" customWidth="1"/>
    <col min="23" max="23" width="12.7109375" style="0" bestFit="1" customWidth="1"/>
    <col min="24" max="24" width="15.28125" style="0" bestFit="1" customWidth="1"/>
  </cols>
  <sheetData>
    <row r="1" spans="2:25" ht="12.75">
      <c r="B1" s="126" t="s">
        <v>17</v>
      </c>
      <c r="C1" s="126"/>
      <c r="D1" s="126"/>
      <c r="E1" s="126"/>
      <c r="F1" s="126"/>
      <c r="G1" s="72"/>
      <c r="H1" s="72"/>
      <c r="I1" s="126" t="str">
        <f>$B1</f>
        <v>CRONOGRAMA FÍSICO-FINANCEIRO</v>
      </c>
      <c r="J1" s="126"/>
      <c r="K1" s="126"/>
      <c r="L1" s="126"/>
      <c r="M1" s="126"/>
      <c r="N1" s="126"/>
      <c r="O1" s="126"/>
      <c r="P1" s="72"/>
      <c r="Q1" s="126" t="str">
        <f>$B1</f>
        <v>CRONOGRAMA FÍSICO-FINANCEIRO</v>
      </c>
      <c r="R1" s="126"/>
      <c r="S1" s="126"/>
      <c r="T1" s="126"/>
      <c r="U1" s="126"/>
      <c r="V1" s="126"/>
      <c r="W1" s="126"/>
      <c r="X1" s="102"/>
      <c r="Y1" s="72"/>
    </row>
    <row r="2" spans="2:25" ht="12.75">
      <c r="B2" s="126" t="str">
        <f>ORÇAMENTO!A2</f>
        <v>OBRA: PAVIMENTAÇÃO POLIÉDRICA COM PEDRAS IRREGULARES</v>
      </c>
      <c r="C2" s="126"/>
      <c r="D2" s="126"/>
      <c r="E2" s="126"/>
      <c r="F2" s="126"/>
      <c r="G2" s="72"/>
      <c r="H2" s="72"/>
      <c r="I2" s="126" t="str">
        <f>$B2</f>
        <v>OBRA: PAVIMENTAÇÃO POLIÉDRICA COM PEDRAS IRREGULARES</v>
      </c>
      <c r="J2" s="126"/>
      <c r="K2" s="126"/>
      <c r="L2" s="126"/>
      <c r="M2" s="126"/>
      <c r="N2" s="126"/>
      <c r="O2" s="126"/>
      <c r="P2" s="72"/>
      <c r="Q2" s="126" t="str">
        <f>$B2</f>
        <v>OBRA: PAVIMENTAÇÃO POLIÉDRICA COM PEDRAS IRREGULARES</v>
      </c>
      <c r="R2" s="126"/>
      <c r="S2" s="126"/>
      <c r="T2" s="126"/>
      <c r="U2" s="126"/>
      <c r="V2" s="126"/>
      <c r="W2" s="126"/>
      <c r="X2" s="102"/>
      <c r="Y2" s="72"/>
    </row>
    <row r="3" spans="2:25" s="14" customFormat="1" ht="28.5" customHeight="1">
      <c r="B3" s="132" t="str">
        <f>ORÇAMENTO!A3</f>
        <v>TRECHO DA LINHA SANTANA - PROPRIEDADE: MUNICÍPIO DE RENASCENÇA (1,7KM - LARGURA 6,00M)</v>
      </c>
      <c r="C3" s="132"/>
      <c r="D3" s="132"/>
      <c r="E3" s="132"/>
      <c r="F3" s="132"/>
      <c r="G3" s="73"/>
      <c r="H3" s="73"/>
      <c r="I3" s="124" t="str">
        <f>$B3</f>
        <v>TRECHO DA LINHA SANTANA - PROPRIEDADE: MUNICÍPIO DE RENASCENÇA (1,7KM - LARGURA 6,00M)</v>
      </c>
      <c r="J3" s="124"/>
      <c r="K3" s="124"/>
      <c r="L3" s="124"/>
      <c r="M3" s="124"/>
      <c r="N3" s="124"/>
      <c r="O3" s="127"/>
      <c r="P3" s="94"/>
      <c r="Q3" s="124" t="str">
        <f>$B3</f>
        <v>TRECHO DA LINHA SANTANA - PROPRIEDADE: MUNICÍPIO DE RENASCENÇA (1,7KM - LARGURA 6,00M)</v>
      </c>
      <c r="R3" s="124"/>
      <c r="S3" s="124"/>
      <c r="T3" s="124"/>
      <c r="U3" s="124"/>
      <c r="V3" s="124"/>
      <c r="W3" s="124"/>
      <c r="X3" s="103"/>
      <c r="Y3" s="72"/>
    </row>
    <row r="4" spans="1:25" ht="12.75">
      <c r="A4" s="89"/>
      <c r="B4" s="125" t="s">
        <v>16</v>
      </c>
      <c r="C4" s="125"/>
      <c r="D4" s="125"/>
      <c r="E4" s="125"/>
      <c r="F4" s="125"/>
      <c r="G4" s="88"/>
      <c r="H4" s="90"/>
      <c r="I4" s="125" t="str">
        <f>$B4</f>
        <v>PROPRIEDADE: MUNICÍPIO DE RENASCENÇA</v>
      </c>
      <c r="J4" s="125"/>
      <c r="K4" s="125"/>
      <c r="L4" s="125"/>
      <c r="M4" s="125"/>
      <c r="N4" s="125"/>
      <c r="O4" s="125"/>
      <c r="P4" s="72"/>
      <c r="Q4" s="125" t="str">
        <f>$B4</f>
        <v>PROPRIEDADE: MUNICÍPIO DE RENASCENÇA</v>
      </c>
      <c r="R4" s="125"/>
      <c r="S4" s="125"/>
      <c r="T4" s="125"/>
      <c r="U4" s="125"/>
      <c r="V4" s="125"/>
      <c r="W4" s="125"/>
      <c r="X4" s="104"/>
      <c r="Y4" s="72"/>
    </row>
    <row r="5" spans="1:24" s="80" customFormat="1" ht="12.75" customHeight="1">
      <c r="A5" s="130" t="s">
        <v>25</v>
      </c>
      <c r="B5" s="131" t="s">
        <v>18</v>
      </c>
      <c r="C5" s="131" t="s">
        <v>26</v>
      </c>
      <c r="D5" s="122" t="s">
        <v>19</v>
      </c>
      <c r="E5" s="123" t="s">
        <v>20</v>
      </c>
      <c r="F5" s="122" t="s">
        <v>21</v>
      </c>
      <c r="G5" s="123" t="s">
        <v>20</v>
      </c>
      <c r="H5" s="122" t="s">
        <v>22</v>
      </c>
      <c r="I5" s="123" t="s">
        <v>20</v>
      </c>
      <c r="J5" s="122" t="s">
        <v>23</v>
      </c>
      <c r="K5" s="123" t="s">
        <v>20</v>
      </c>
      <c r="L5" s="122" t="s">
        <v>70</v>
      </c>
      <c r="M5" s="123" t="s">
        <v>20</v>
      </c>
      <c r="N5" s="122" t="s">
        <v>71</v>
      </c>
      <c r="O5" s="123" t="s">
        <v>20</v>
      </c>
      <c r="P5" s="122" t="s">
        <v>72</v>
      </c>
      <c r="Q5" s="123" t="s">
        <v>20</v>
      </c>
      <c r="R5" s="122" t="s">
        <v>73</v>
      </c>
      <c r="S5" s="123" t="s">
        <v>20</v>
      </c>
      <c r="T5" s="122" t="s">
        <v>74</v>
      </c>
      <c r="U5" s="123" t="s">
        <v>20</v>
      </c>
      <c r="V5" s="122" t="s">
        <v>75</v>
      </c>
      <c r="W5" s="123" t="s">
        <v>20</v>
      </c>
      <c r="X5" s="91" t="s">
        <v>24</v>
      </c>
    </row>
    <row r="6" spans="1:24" s="80" customFormat="1" ht="12.75">
      <c r="A6" s="130"/>
      <c r="B6" s="131"/>
      <c r="C6" s="131"/>
      <c r="D6" s="122"/>
      <c r="E6" s="123"/>
      <c r="F6" s="122"/>
      <c r="G6" s="123"/>
      <c r="H6" s="122"/>
      <c r="I6" s="123"/>
      <c r="J6" s="122"/>
      <c r="K6" s="123"/>
      <c r="L6" s="122"/>
      <c r="M6" s="123"/>
      <c r="N6" s="122"/>
      <c r="O6" s="123"/>
      <c r="P6" s="122"/>
      <c r="Q6" s="123"/>
      <c r="R6" s="122"/>
      <c r="S6" s="123"/>
      <c r="T6" s="122"/>
      <c r="U6" s="123"/>
      <c r="V6" s="122"/>
      <c r="W6" s="123"/>
      <c r="X6" s="92" t="s">
        <v>27</v>
      </c>
    </row>
    <row r="7" spans="1:24" s="80" customFormat="1" ht="12.75">
      <c r="A7" s="130"/>
      <c r="B7" s="131"/>
      <c r="C7" s="131"/>
      <c r="D7" s="122"/>
      <c r="E7" s="123"/>
      <c r="F7" s="122"/>
      <c r="G7" s="123"/>
      <c r="H7" s="122"/>
      <c r="I7" s="123"/>
      <c r="J7" s="122"/>
      <c r="K7" s="123"/>
      <c r="L7" s="122"/>
      <c r="M7" s="123"/>
      <c r="N7" s="122"/>
      <c r="O7" s="123"/>
      <c r="P7" s="122"/>
      <c r="Q7" s="123"/>
      <c r="R7" s="122"/>
      <c r="S7" s="123"/>
      <c r="T7" s="122"/>
      <c r="U7" s="123"/>
      <c r="V7" s="122"/>
      <c r="W7" s="123"/>
      <c r="X7" s="93" t="s">
        <v>28</v>
      </c>
    </row>
    <row r="8" spans="1:25" s="68" customFormat="1" ht="12.75">
      <c r="A8" s="75">
        <f>ORÇAMENTO!A7</f>
        <v>1</v>
      </c>
      <c r="B8" s="76" t="str">
        <f>ORÇAMENTO!D7</f>
        <v>SERVIÇOS PRELIMINARES</v>
      </c>
      <c r="C8" s="77"/>
      <c r="D8" s="78">
        <f aca="true" t="shared" si="0" ref="D8:D19">E8*X8</f>
        <v>0</v>
      </c>
      <c r="E8" s="79"/>
      <c r="F8" s="78">
        <f aca="true" t="shared" si="1" ref="F8:F19">G8*X8</f>
        <v>0</v>
      </c>
      <c r="G8" s="79"/>
      <c r="H8" s="4">
        <f aca="true" t="shared" si="2" ref="H8:H19">I8*X8</f>
        <v>0</v>
      </c>
      <c r="I8" s="79"/>
      <c r="J8" s="4">
        <f aca="true" t="shared" si="3" ref="J8:J19">K8*X8</f>
        <v>0</v>
      </c>
      <c r="K8" s="79"/>
      <c r="L8" s="78">
        <f aca="true" t="shared" si="4" ref="L8:L19">M8*X8</f>
        <v>0</v>
      </c>
      <c r="M8" s="79"/>
      <c r="N8" s="4">
        <f aca="true" t="shared" si="5" ref="N8:N19">O8*X8</f>
        <v>0</v>
      </c>
      <c r="O8" s="79"/>
      <c r="P8" s="4">
        <f aca="true" t="shared" si="6" ref="P8:P19">Q8*X8</f>
        <v>0</v>
      </c>
      <c r="Q8" s="79"/>
      <c r="R8" s="4">
        <f aca="true" t="shared" si="7" ref="R8:R19">S8*X8</f>
        <v>0</v>
      </c>
      <c r="S8" s="79"/>
      <c r="T8" s="4">
        <f aca="true" t="shared" si="8" ref="T8:T19">U8*X8</f>
        <v>0</v>
      </c>
      <c r="U8" s="79"/>
      <c r="V8" s="4">
        <f aca="true" t="shared" si="9" ref="V8:V19">W8*X8</f>
        <v>0</v>
      </c>
      <c r="W8" s="79"/>
      <c r="X8" s="78">
        <f>ORÇAMENTO!I7</f>
        <v>0</v>
      </c>
      <c r="Y8" t="str">
        <f>IF((E8+G8+I8+K8+M8+O8+Q8+S8+U8+W8)=1,"OK","ERRO")</f>
        <v>ERRO</v>
      </c>
    </row>
    <row r="9" spans="1:25" ht="12.75">
      <c r="A9" s="2" t="str">
        <f>ORÇAMENTO!A8</f>
        <v>1.1</v>
      </c>
      <c r="B9" s="71" t="str">
        <f>ORÇAMENTO!D8</f>
        <v>Placa sinalização c/ película refletiva</v>
      </c>
      <c r="C9" s="3">
        <f aca="true" t="shared" si="10" ref="C9:C19">((X9/($X$20)))</f>
        <v>0.006671357409082119</v>
      </c>
      <c r="D9" s="4">
        <f t="shared" si="0"/>
        <v>3894.47</v>
      </c>
      <c r="E9" s="5">
        <v>1</v>
      </c>
      <c r="F9" s="4">
        <f t="shared" si="1"/>
        <v>0</v>
      </c>
      <c r="G9" s="5"/>
      <c r="H9" s="4">
        <f t="shared" si="2"/>
        <v>0</v>
      </c>
      <c r="I9" s="5"/>
      <c r="J9" s="4">
        <f t="shared" si="3"/>
        <v>0</v>
      </c>
      <c r="K9" s="5"/>
      <c r="L9" s="4">
        <f t="shared" si="4"/>
        <v>0</v>
      </c>
      <c r="M9" s="5"/>
      <c r="N9" s="4">
        <f t="shared" si="5"/>
        <v>0</v>
      </c>
      <c r="O9" s="5"/>
      <c r="P9" s="4">
        <f t="shared" si="6"/>
        <v>0</v>
      </c>
      <c r="Q9" s="5"/>
      <c r="R9" s="4">
        <f t="shared" si="7"/>
        <v>0</v>
      </c>
      <c r="S9" s="5"/>
      <c r="T9" s="4">
        <f t="shared" si="8"/>
        <v>0</v>
      </c>
      <c r="U9" s="5"/>
      <c r="V9" s="4">
        <f t="shared" si="9"/>
        <v>0</v>
      </c>
      <c r="W9" s="5"/>
      <c r="X9" s="4">
        <f>ORÇAMENTO!I8</f>
        <v>3894.47</v>
      </c>
      <c r="Y9" t="str">
        <f>IF((E9+G9+I9+K9+M9+O9+Q9+S9+U9+W9)=1,"OK","ERRO")</f>
        <v>OK</v>
      </c>
    </row>
    <row r="10" spans="1:25" ht="22.5">
      <c r="A10" s="2" t="str">
        <f>ORÇAMENTO!A9</f>
        <v>1.2</v>
      </c>
      <c r="B10" s="71" t="str">
        <f>ORÇAMENTO!D9</f>
        <v>Suporte de madeira 3"x3" p/ placa sinalização, h=3,00m</v>
      </c>
      <c r="C10" s="3">
        <f t="shared" si="10"/>
        <v>0.001375274650654235</v>
      </c>
      <c r="D10" s="4">
        <f t="shared" si="0"/>
        <v>802.83</v>
      </c>
      <c r="E10" s="5">
        <v>1</v>
      </c>
      <c r="F10" s="4">
        <f t="shared" si="1"/>
        <v>0</v>
      </c>
      <c r="G10" s="5"/>
      <c r="H10" s="4">
        <f t="shared" si="2"/>
        <v>0</v>
      </c>
      <c r="I10" s="5"/>
      <c r="J10" s="4">
        <f t="shared" si="3"/>
        <v>0</v>
      </c>
      <c r="K10" s="5"/>
      <c r="L10" s="4">
        <f t="shared" si="4"/>
        <v>0</v>
      </c>
      <c r="M10" s="5"/>
      <c r="N10" s="4">
        <f t="shared" si="5"/>
        <v>0</v>
      </c>
      <c r="O10" s="5"/>
      <c r="P10" s="4">
        <f t="shared" si="6"/>
        <v>0</v>
      </c>
      <c r="Q10" s="5"/>
      <c r="R10" s="4">
        <f t="shared" si="7"/>
        <v>0</v>
      </c>
      <c r="S10" s="5"/>
      <c r="T10" s="4">
        <f t="shared" si="8"/>
        <v>0</v>
      </c>
      <c r="U10" s="5"/>
      <c r="V10" s="4">
        <f t="shared" si="9"/>
        <v>0</v>
      </c>
      <c r="W10" s="5"/>
      <c r="X10" s="4">
        <f>ORÇAMENTO!I9</f>
        <v>802.83</v>
      </c>
      <c r="Y10" t="str">
        <f aca="true" t="shared" si="11" ref="Y10:Y20">IF((E10+G10+I10+K10+M10+O10+Q10+S10+U10+W10)=1,"OK","ERRO")</f>
        <v>OK</v>
      </c>
    </row>
    <row r="11" spans="1:25" s="68" customFormat="1" ht="12.75">
      <c r="A11" s="64">
        <f>ORÇAMENTO!A10</f>
        <v>2</v>
      </c>
      <c r="B11" s="70" t="str">
        <f>ORÇAMENTO!D10</f>
        <v>PAVIMENTAÇÃO</v>
      </c>
      <c r="C11" s="65"/>
      <c r="D11" s="4">
        <f t="shared" si="0"/>
        <v>0</v>
      </c>
      <c r="E11" s="67"/>
      <c r="F11" s="66">
        <f t="shared" si="1"/>
        <v>0</v>
      </c>
      <c r="G11" s="67"/>
      <c r="H11" s="4">
        <f t="shared" si="2"/>
        <v>0</v>
      </c>
      <c r="I11" s="67"/>
      <c r="J11" s="4">
        <f t="shared" si="3"/>
        <v>0</v>
      </c>
      <c r="K11" s="67"/>
      <c r="L11" s="66">
        <f t="shared" si="4"/>
        <v>0</v>
      </c>
      <c r="M11" s="67"/>
      <c r="N11" s="4">
        <f t="shared" si="5"/>
        <v>0</v>
      </c>
      <c r="O11" s="5"/>
      <c r="P11" s="4">
        <f t="shared" si="6"/>
        <v>0</v>
      </c>
      <c r="Q11" s="5"/>
      <c r="R11" s="4">
        <f t="shared" si="7"/>
        <v>0</v>
      </c>
      <c r="S11" s="5"/>
      <c r="T11" s="4">
        <f t="shared" si="8"/>
        <v>0</v>
      </c>
      <c r="U11" s="5"/>
      <c r="V11" s="4">
        <f t="shared" si="9"/>
        <v>0</v>
      </c>
      <c r="W11" s="5"/>
      <c r="X11" s="66">
        <f>ORÇAMENTO!I10</f>
        <v>0</v>
      </c>
      <c r="Y11" t="str">
        <f t="shared" si="11"/>
        <v>ERRO</v>
      </c>
    </row>
    <row r="12" spans="1:25" ht="12.75">
      <c r="A12" s="2" t="str">
        <f>ORÇAMENTO!A11</f>
        <v>2.1</v>
      </c>
      <c r="B12" s="71" t="str">
        <f>ORÇAMENTO!D11</f>
        <v>Colchão de argila p/ pav. Poliédrico (DMT 2km)</v>
      </c>
      <c r="C12" s="3">
        <f t="shared" si="10"/>
        <v>0.07384261977906802</v>
      </c>
      <c r="D12" s="4">
        <f t="shared" si="0"/>
        <v>4310.635</v>
      </c>
      <c r="E12" s="5">
        <v>0.1</v>
      </c>
      <c r="F12" s="4">
        <f t="shared" si="1"/>
        <v>4310.635</v>
      </c>
      <c r="G12" s="5">
        <v>0.1</v>
      </c>
      <c r="H12" s="4">
        <f t="shared" si="2"/>
        <v>4310.635</v>
      </c>
      <c r="I12" s="5">
        <v>0.1</v>
      </c>
      <c r="J12" s="4">
        <f t="shared" si="3"/>
        <v>4310.635</v>
      </c>
      <c r="K12" s="5">
        <v>0.1</v>
      </c>
      <c r="L12" s="4">
        <f t="shared" si="4"/>
        <v>4310.635</v>
      </c>
      <c r="M12" s="5">
        <v>0.1</v>
      </c>
      <c r="N12" s="4">
        <f t="shared" si="5"/>
        <v>4310.635</v>
      </c>
      <c r="O12" s="5">
        <v>0.1</v>
      </c>
      <c r="P12" s="4">
        <f t="shared" si="6"/>
        <v>4310.635</v>
      </c>
      <c r="Q12" s="5">
        <v>0.1</v>
      </c>
      <c r="R12" s="4">
        <f t="shared" si="7"/>
        <v>4310.635</v>
      </c>
      <c r="S12" s="5">
        <v>0.1</v>
      </c>
      <c r="T12" s="4">
        <f t="shared" si="8"/>
        <v>4310.635</v>
      </c>
      <c r="U12" s="5">
        <v>0.1</v>
      </c>
      <c r="V12" s="4">
        <f t="shared" si="9"/>
        <v>4310.635</v>
      </c>
      <c r="W12" s="5">
        <v>0.1</v>
      </c>
      <c r="X12" s="4">
        <f>ORÇAMENTO!I11</f>
        <v>43106.35</v>
      </c>
      <c r="Y12" t="str">
        <f t="shared" si="11"/>
        <v>OK</v>
      </c>
    </row>
    <row r="13" spans="1:25" ht="12.75">
      <c r="A13" s="2" t="str">
        <f>ORÇAMENTO!A12</f>
        <v>2.2</v>
      </c>
      <c r="B13" s="71" t="str">
        <f>ORÇAMENTO!D12</f>
        <v>Escarificação, regularização compac. Subleito</v>
      </c>
      <c r="C13" s="3">
        <f t="shared" si="10"/>
        <v>0</v>
      </c>
      <c r="D13" s="4">
        <f t="shared" si="0"/>
        <v>0</v>
      </c>
      <c r="E13" s="5">
        <v>0.1</v>
      </c>
      <c r="F13" s="4">
        <f t="shared" si="1"/>
        <v>0</v>
      </c>
      <c r="G13" s="5">
        <v>0.1</v>
      </c>
      <c r="H13" s="4">
        <f t="shared" si="2"/>
        <v>0</v>
      </c>
      <c r="I13" s="5">
        <v>0.1</v>
      </c>
      <c r="J13" s="4">
        <f t="shared" si="3"/>
        <v>0</v>
      </c>
      <c r="K13" s="5">
        <v>0.1</v>
      </c>
      <c r="L13" s="4">
        <f t="shared" si="4"/>
        <v>0</v>
      </c>
      <c r="M13" s="5">
        <v>0.1</v>
      </c>
      <c r="N13" s="4">
        <f t="shared" si="5"/>
        <v>0</v>
      </c>
      <c r="O13" s="5">
        <v>0.1</v>
      </c>
      <c r="P13" s="4">
        <f t="shared" si="6"/>
        <v>0</v>
      </c>
      <c r="Q13" s="5">
        <v>0.1</v>
      </c>
      <c r="R13" s="4">
        <f t="shared" si="7"/>
        <v>0</v>
      </c>
      <c r="S13" s="5">
        <v>0.1</v>
      </c>
      <c r="T13" s="4">
        <f t="shared" si="8"/>
        <v>0</v>
      </c>
      <c r="U13" s="5">
        <v>0.1</v>
      </c>
      <c r="V13" s="4">
        <f t="shared" si="9"/>
        <v>0</v>
      </c>
      <c r="W13" s="5">
        <v>0.1</v>
      </c>
      <c r="X13" s="4">
        <f>ORÇAMENTO!I12</f>
        <v>0</v>
      </c>
      <c r="Y13" t="str">
        <f t="shared" si="11"/>
        <v>OK</v>
      </c>
    </row>
    <row r="14" spans="1:25" ht="22.5">
      <c r="A14" s="2" t="str">
        <f>ORÇAMENTO!A13</f>
        <v>2.3</v>
      </c>
      <c r="B14" s="71" t="str">
        <f>ORÇAMENTO!D13</f>
        <v>Extração, carga, transp. assent. cordão lat. pedra p/ pav. Poliédrico (DMT 27km)</v>
      </c>
      <c r="C14" s="3">
        <f t="shared" si="10"/>
        <v>0.06931286253783576</v>
      </c>
      <c r="D14" s="4">
        <f t="shared" si="0"/>
        <v>4046.206</v>
      </c>
      <c r="E14" s="5">
        <v>0.1</v>
      </c>
      <c r="F14" s="4">
        <f t="shared" si="1"/>
        <v>4046.206</v>
      </c>
      <c r="G14" s="5">
        <v>0.1</v>
      </c>
      <c r="H14" s="4">
        <f t="shared" si="2"/>
        <v>4046.206</v>
      </c>
      <c r="I14" s="5">
        <v>0.1</v>
      </c>
      <c r="J14" s="4">
        <f t="shared" si="3"/>
        <v>4046.206</v>
      </c>
      <c r="K14" s="5">
        <v>0.1</v>
      </c>
      <c r="L14" s="4">
        <f t="shared" si="4"/>
        <v>4046.206</v>
      </c>
      <c r="M14" s="5">
        <v>0.1</v>
      </c>
      <c r="N14" s="4">
        <f t="shared" si="5"/>
        <v>4046.206</v>
      </c>
      <c r="O14" s="5">
        <v>0.1</v>
      </c>
      <c r="P14" s="4">
        <f t="shared" si="6"/>
        <v>4046.206</v>
      </c>
      <c r="Q14" s="5">
        <v>0.1</v>
      </c>
      <c r="R14" s="4">
        <f t="shared" si="7"/>
        <v>4046.206</v>
      </c>
      <c r="S14" s="5">
        <v>0.1</v>
      </c>
      <c r="T14" s="4">
        <f t="shared" si="8"/>
        <v>4046.206</v>
      </c>
      <c r="U14" s="5">
        <v>0.1</v>
      </c>
      <c r="V14" s="4">
        <f t="shared" si="9"/>
        <v>4046.206</v>
      </c>
      <c r="W14" s="5">
        <v>0.1</v>
      </c>
      <c r="X14" s="4">
        <f>ORÇAMENTO!I13</f>
        <v>40462.06</v>
      </c>
      <c r="Y14" t="str">
        <f t="shared" si="11"/>
        <v>OK</v>
      </c>
    </row>
    <row r="15" spans="1:25" ht="22.5">
      <c r="A15" s="2" t="str">
        <f>ORÇAMENTO!A14</f>
        <v>2.4</v>
      </c>
      <c r="B15" s="71" t="str">
        <f>ORÇAMENTO!D14</f>
        <v>Extração, carga, transp. preparo e assentamento do poliedro (DMT 27km)</v>
      </c>
      <c r="C15" s="3">
        <f t="shared" si="10"/>
        <v>0.7219413684835008</v>
      </c>
      <c r="D15" s="4">
        <f t="shared" si="0"/>
        <v>42144.03200000001</v>
      </c>
      <c r="E15" s="5">
        <v>0.1</v>
      </c>
      <c r="F15" s="4">
        <f t="shared" si="1"/>
        <v>42144.03200000001</v>
      </c>
      <c r="G15" s="5">
        <v>0.1</v>
      </c>
      <c r="H15" s="4">
        <f t="shared" si="2"/>
        <v>42144.03200000001</v>
      </c>
      <c r="I15" s="5">
        <v>0.1</v>
      </c>
      <c r="J15" s="4">
        <f t="shared" si="3"/>
        <v>42144.03200000001</v>
      </c>
      <c r="K15" s="5">
        <v>0.1</v>
      </c>
      <c r="L15" s="4">
        <f t="shared" si="4"/>
        <v>42144.03200000001</v>
      </c>
      <c r="M15" s="5">
        <v>0.1</v>
      </c>
      <c r="N15" s="4">
        <f t="shared" si="5"/>
        <v>42144.03200000001</v>
      </c>
      <c r="O15" s="5">
        <v>0.1</v>
      </c>
      <c r="P15" s="4">
        <f t="shared" si="6"/>
        <v>42144.03200000001</v>
      </c>
      <c r="Q15" s="5">
        <v>0.1</v>
      </c>
      <c r="R15" s="4">
        <f t="shared" si="7"/>
        <v>42144.03200000001</v>
      </c>
      <c r="S15" s="5">
        <v>0.1</v>
      </c>
      <c r="T15" s="4">
        <f t="shared" si="8"/>
        <v>42144.03200000001</v>
      </c>
      <c r="U15" s="5">
        <v>0.1</v>
      </c>
      <c r="V15" s="4">
        <f t="shared" si="9"/>
        <v>42144.03200000001</v>
      </c>
      <c r="W15" s="5">
        <v>0.1</v>
      </c>
      <c r="X15" s="4">
        <f>ORÇAMENTO!I14</f>
        <v>421440.32</v>
      </c>
      <c r="Y15" t="str">
        <f t="shared" si="11"/>
        <v>OK</v>
      </c>
    </row>
    <row r="16" spans="1:25" ht="12.75">
      <c r="A16" s="2" t="str">
        <f>ORÇAMENTO!A15</f>
        <v>2.5</v>
      </c>
      <c r="B16" s="71" t="str">
        <f>ORÇAMENTO!D15</f>
        <v>Enchimento c/ argila p/ pav. Poliédrico (DMT 2km)</v>
      </c>
      <c r="C16" s="3">
        <f t="shared" si="10"/>
        <v>0.02772717667281486</v>
      </c>
      <c r="D16" s="4">
        <f t="shared" si="0"/>
        <v>1618.601</v>
      </c>
      <c r="E16" s="5">
        <v>0.1</v>
      </c>
      <c r="F16" s="4">
        <f t="shared" si="1"/>
        <v>1618.601</v>
      </c>
      <c r="G16" s="5">
        <v>0.1</v>
      </c>
      <c r="H16" s="4">
        <f t="shared" si="2"/>
        <v>1618.601</v>
      </c>
      <c r="I16" s="5">
        <v>0.1</v>
      </c>
      <c r="J16" s="4">
        <f t="shared" si="3"/>
        <v>1618.601</v>
      </c>
      <c r="K16" s="5">
        <v>0.1</v>
      </c>
      <c r="L16" s="4">
        <f t="shared" si="4"/>
        <v>1618.601</v>
      </c>
      <c r="M16" s="5">
        <v>0.1</v>
      </c>
      <c r="N16" s="4">
        <f t="shared" si="5"/>
        <v>1618.601</v>
      </c>
      <c r="O16" s="5">
        <v>0.1</v>
      </c>
      <c r="P16" s="4">
        <f t="shared" si="6"/>
        <v>1618.601</v>
      </c>
      <c r="Q16" s="5">
        <v>0.1</v>
      </c>
      <c r="R16" s="4">
        <f t="shared" si="7"/>
        <v>1618.601</v>
      </c>
      <c r="S16" s="5">
        <v>0.1</v>
      </c>
      <c r="T16" s="4">
        <f t="shared" si="8"/>
        <v>1618.601</v>
      </c>
      <c r="U16" s="5">
        <v>0.1</v>
      </c>
      <c r="V16" s="4">
        <f t="shared" si="9"/>
        <v>1618.601</v>
      </c>
      <c r="W16" s="5">
        <v>0.1</v>
      </c>
      <c r="X16" s="4">
        <f>ORÇAMENTO!I15</f>
        <v>16186.01</v>
      </c>
      <c r="Y16" t="str">
        <f t="shared" si="11"/>
        <v>OK</v>
      </c>
    </row>
    <row r="17" spans="1:25" ht="12.75">
      <c r="A17" s="2" t="str">
        <f>ORÇAMENTO!A16</f>
        <v>2.6</v>
      </c>
      <c r="B17" s="71" t="str">
        <f>ORÇAMENTO!D16</f>
        <v>Compactação de pavimento poliédrico</v>
      </c>
      <c r="C17" s="3">
        <f t="shared" si="10"/>
        <v>0</v>
      </c>
      <c r="D17" s="4">
        <f t="shared" si="0"/>
        <v>0</v>
      </c>
      <c r="E17" s="5">
        <v>0.1</v>
      </c>
      <c r="F17" s="4">
        <f t="shared" si="1"/>
        <v>0</v>
      </c>
      <c r="G17" s="5">
        <v>0.1</v>
      </c>
      <c r="H17" s="4">
        <f t="shared" si="2"/>
        <v>0</v>
      </c>
      <c r="I17" s="5">
        <v>0.1</v>
      </c>
      <c r="J17" s="4">
        <f t="shared" si="3"/>
        <v>0</v>
      </c>
      <c r="K17" s="5">
        <v>0.1</v>
      </c>
      <c r="L17" s="4">
        <f t="shared" si="4"/>
        <v>0</v>
      </c>
      <c r="M17" s="5">
        <v>0.1</v>
      </c>
      <c r="N17" s="4">
        <f t="shared" si="5"/>
        <v>0</v>
      </c>
      <c r="O17" s="5">
        <v>0.1</v>
      </c>
      <c r="P17" s="4">
        <f t="shared" si="6"/>
        <v>0</v>
      </c>
      <c r="Q17" s="5">
        <v>0.1</v>
      </c>
      <c r="R17" s="4">
        <f t="shared" si="7"/>
        <v>0</v>
      </c>
      <c r="S17" s="5">
        <v>0.1</v>
      </c>
      <c r="T17" s="4">
        <f t="shared" si="8"/>
        <v>0</v>
      </c>
      <c r="U17" s="5">
        <v>0.1</v>
      </c>
      <c r="V17" s="4">
        <f t="shared" si="9"/>
        <v>0</v>
      </c>
      <c r="W17" s="5">
        <v>0.1</v>
      </c>
      <c r="X17" s="4">
        <f>ORÇAMENTO!I16</f>
        <v>0</v>
      </c>
      <c r="Y17" t="str">
        <f t="shared" si="11"/>
        <v>OK</v>
      </c>
    </row>
    <row r="18" spans="1:25" ht="12.75">
      <c r="A18" s="2" t="str">
        <f>ORÇAMENTO!A17</f>
        <v>2.7</v>
      </c>
      <c r="B18" s="71" t="str">
        <f>ORÇAMENTO!D17</f>
        <v>Contenção lateral c/ solo local p/ pav. Poliédrico</v>
      </c>
      <c r="C18" s="3">
        <f t="shared" si="10"/>
        <v>0.012617724798297163</v>
      </c>
      <c r="D18" s="4">
        <f t="shared" si="0"/>
        <v>736.5720000000001</v>
      </c>
      <c r="E18" s="5">
        <v>0.1</v>
      </c>
      <c r="F18" s="4">
        <f t="shared" si="1"/>
        <v>736.5720000000001</v>
      </c>
      <c r="G18" s="5">
        <v>0.1</v>
      </c>
      <c r="H18" s="4">
        <f t="shared" si="2"/>
        <v>736.5720000000001</v>
      </c>
      <c r="I18" s="5">
        <v>0.1</v>
      </c>
      <c r="J18" s="4">
        <f t="shared" si="3"/>
        <v>736.5720000000001</v>
      </c>
      <c r="K18" s="5">
        <v>0.1</v>
      </c>
      <c r="L18" s="4">
        <f t="shared" si="4"/>
        <v>736.5720000000001</v>
      </c>
      <c r="M18" s="5">
        <v>0.1</v>
      </c>
      <c r="N18" s="4">
        <f t="shared" si="5"/>
        <v>736.5720000000001</v>
      </c>
      <c r="O18" s="5">
        <v>0.1</v>
      </c>
      <c r="P18" s="4">
        <f t="shared" si="6"/>
        <v>736.5720000000001</v>
      </c>
      <c r="Q18" s="5">
        <v>0.1</v>
      </c>
      <c r="R18" s="4">
        <f t="shared" si="7"/>
        <v>736.5720000000001</v>
      </c>
      <c r="S18" s="5">
        <v>0.1</v>
      </c>
      <c r="T18" s="4">
        <f t="shared" si="8"/>
        <v>736.5720000000001</v>
      </c>
      <c r="U18" s="5">
        <v>0.1</v>
      </c>
      <c r="V18" s="4">
        <f t="shared" si="9"/>
        <v>736.5720000000001</v>
      </c>
      <c r="W18" s="5">
        <v>0.1</v>
      </c>
      <c r="X18" s="4">
        <f>ORÇAMENTO!I17</f>
        <v>7365.72</v>
      </c>
      <c r="Y18" t="str">
        <f t="shared" si="11"/>
        <v>OK</v>
      </c>
    </row>
    <row r="19" spans="1:25" ht="13.5" thickBot="1">
      <c r="A19" s="2" t="str">
        <f>ORÇAMENTO!A18</f>
        <v>2.8</v>
      </c>
      <c r="B19" s="71" t="str">
        <f>ORÇAMENTO!D18</f>
        <v>Enleivamento da contenção lateral</v>
      </c>
      <c r="C19" s="3">
        <f t="shared" si="10"/>
        <v>0.08651161566874702</v>
      </c>
      <c r="D19" s="4">
        <f t="shared" si="0"/>
        <v>5050.200000000001</v>
      </c>
      <c r="E19" s="5">
        <v>0.1</v>
      </c>
      <c r="F19" s="4">
        <f t="shared" si="1"/>
        <v>5050.200000000001</v>
      </c>
      <c r="G19" s="5">
        <v>0.1</v>
      </c>
      <c r="H19" s="4">
        <f t="shared" si="2"/>
        <v>5050.200000000001</v>
      </c>
      <c r="I19" s="5">
        <v>0.1</v>
      </c>
      <c r="J19" s="4">
        <f t="shared" si="3"/>
        <v>5050.200000000001</v>
      </c>
      <c r="K19" s="5">
        <v>0.1</v>
      </c>
      <c r="L19" s="4">
        <f t="shared" si="4"/>
        <v>5050.200000000001</v>
      </c>
      <c r="M19" s="5">
        <v>0.1</v>
      </c>
      <c r="N19" s="4">
        <f t="shared" si="5"/>
        <v>5050.200000000001</v>
      </c>
      <c r="O19" s="5">
        <v>0.1</v>
      </c>
      <c r="P19" s="4">
        <f t="shared" si="6"/>
        <v>5050.200000000001</v>
      </c>
      <c r="Q19" s="5">
        <v>0.1</v>
      </c>
      <c r="R19" s="4">
        <f t="shared" si="7"/>
        <v>5050.200000000001</v>
      </c>
      <c r="S19" s="5">
        <v>0.1</v>
      </c>
      <c r="T19" s="4">
        <f t="shared" si="8"/>
        <v>5050.200000000001</v>
      </c>
      <c r="U19" s="5">
        <v>0.1</v>
      </c>
      <c r="V19" s="4">
        <f t="shared" si="9"/>
        <v>5050.200000000001</v>
      </c>
      <c r="W19" s="5">
        <v>0.1</v>
      </c>
      <c r="X19" s="4">
        <f>ORÇAMENTO!I18</f>
        <v>50502</v>
      </c>
      <c r="Y19" t="str">
        <f t="shared" si="11"/>
        <v>OK</v>
      </c>
    </row>
    <row r="20" spans="1:25" ht="12.75">
      <c r="A20" s="128" t="s">
        <v>30</v>
      </c>
      <c r="B20" s="128"/>
      <c r="C20" s="6">
        <f>SUM(C8:C19)</f>
        <v>0.9999999999999999</v>
      </c>
      <c r="D20" s="7">
        <f>SUM(D8:D19)</f>
        <v>62603.54600000002</v>
      </c>
      <c r="E20" s="6">
        <f>D20/$X20</f>
        <v>0.10724196885376275</v>
      </c>
      <c r="F20" s="7">
        <f>SUM(F8:F19)</f>
        <v>57906.246000000014</v>
      </c>
      <c r="G20" s="6">
        <f>F20/$X20</f>
        <v>0.09919533679402638</v>
      </c>
      <c r="H20" s="7">
        <f>SUM(H8:H19)</f>
        <v>57906.246000000014</v>
      </c>
      <c r="I20" s="6">
        <f>H20/$X20</f>
        <v>0.09919533679402638</v>
      </c>
      <c r="J20" s="7">
        <f>SUM(J8:J19)</f>
        <v>57906.246000000014</v>
      </c>
      <c r="K20" s="6">
        <f>J20/$X20</f>
        <v>0.09919533679402638</v>
      </c>
      <c r="L20" s="7">
        <f>SUM(L8:L19)</f>
        <v>57906.246000000014</v>
      </c>
      <c r="M20" s="6">
        <f>L20/$X20</f>
        <v>0.09919533679402638</v>
      </c>
      <c r="N20" s="7">
        <f>SUM(N8:N19)</f>
        <v>57906.246000000014</v>
      </c>
      <c r="O20" s="6">
        <f>N20/$X20</f>
        <v>0.09919533679402638</v>
      </c>
      <c r="P20" s="7">
        <f>SUM(P8:P19)</f>
        <v>57906.246000000014</v>
      </c>
      <c r="Q20" s="6">
        <f>P20/$X20</f>
        <v>0.09919533679402638</v>
      </c>
      <c r="R20" s="7">
        <f>SUM(R8:R19)</f>
        <v>57906.246000000014</v>
      </c>
      <c r="S20" s="6">
        <f>R20/$X20</f>
        <v>0.09919533679402638</v>
      </c>
      <c r="T20" s="7">
        <f>SUM(T8:T19)</f>
        <v>57906.246000000014</v>
      </c>
      <c r="U20" s="6">
        <f>T20/$X20</f>
        <v>0.09919533679402638</v>
      </c>
      <c r="V20" s="7">
        <f>SUM(V8:V19)</f>
        <v>57906.246000000014</v>
      </c>
      <c r="W20" s="6">
        <f>V20/$X20</f>
        <v>0.09919533679402638</v>
      </c>
      <c r="X20" s="11">
        <f>SUM(X8:X19)</f>
        <v>583759.76</v>
      </c>
      <c r="Y20" t="str">
        <f t="shared" si="11"/>
        <v>OK</v>
      </c>
    </row>
    <row r="21" spans="1:24" ht="13.5" thickBot="1">
      <c r="A21" s="129" t="s">
        <v>29</v>
      </c>
      <c r="B21" s="129"/>
      <c r="C21" s="8"/>
      <c r="D21" s="9">
        <f>D20</f>
        <v>62603.54600000002</v>
      </c>
      <c r="E21" s="8">
        <f>E20+C21</f>
        <v>0.10724196885376275</v>
      </c>
      <c r="F21" s="9">
        <f>D21+F20</f>
        <v>120509.79200000003</v>
      </c>
      <c r="G21" s="8">
        <f>G20+E21</f>
        <v>0.20643730564778912</v>
      </c>
      <c r="H21" s="9">
        <f>F21+H20</f>
        <v>178416.03800000006</v>
      </c>
      <c r="I21" s="8">
        <f>I20+G21</f>
        <v>0.3056326424418155</v>
      </c>
      <c r="J21" s="9">
        <f>H21+J20</f>
        <v>236322.28400000007</v>
      </c>
      <c r="K21" s="8">
        <f>K20+I21</f>
        <v>0.40482797923584185</v>
      </c>
      <c r="L21" s="9">
        <f>J21+L20</f>
        <v>294228.5300000001</v>
      </c>
      <c r="M21" s="8">
        <f>M20+K21</f>
        <v>0.5040233160298683</v>
      </c>
      <c r="N21" s="9">
        <f>L21+N20</f>
        <v>352134.77600000007</v>
      </c>
      <c r="O21" s="8">
        <f>O20+M21</f>
        <v>0.6032186528238946</v>
      </c>
      <c r="P21" s="9">
        <f>N21+P20</f>
        <v>410041.0220000001</v>
      </c>
      <c r="Q21" s="8">
        <f>Q20+O21</f>
        <v>0.702413989617921</v>
      </c>
      <c r="R21" s="9">
        <f>P21+R20</f>
        <v>467947.26800000016</v>
      </c>
      <c r="S21" s="8">
        <f>S20+Q21</f>
        <v>0.8016093264119474</v>
      </c>
      <c r="T21" s="9">
        <f>R21+T20</f>
        <v>525853.5140000002</v>
      </c>
      <c r="U21" s="8">
        <f>U20+S21</f>
        <v>0.9008046632059737</v>
      </c>
      <c r="V21" s="9">
        <f>T21+V20</f>
        <v>583759.7600000002</v>
      </c>
      <c r="W21" s="8">
        <f>W20+U21</f>
        <v>1.0000000000000002</v>
      </c>
      <c r="X21" s="10"/>
    </row>
    <row r="23" spans="14:25" ht="12.75"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</row>
    <row r="24" spans="2:25" ht="12.75">
      <c r="B24" s="69" t="str">
        <f>ORÇAMENTO!J24</f>
        <v>Renascença - PR, 18 de Agosto de 2023.</v>
      </c>
      <c r="C24" s="134" t="str">
        <f>ORÇAMENTO!D27</f>
        <v>João Paulo Basniak Boese</v>
      </c>
      <c r="D24" s="134"/>
      <c r="E24" s="134"/>
      <c r="I24" s="133" t="str">
        <f>$B24</f>
        <v>Renascença - PR, 18 de Agosto de 2023.</v>
      </c>
      <c r="J24" s="133"/>
      <c r="K24" s="133"/>
      <c r="M24" s="134" t="str">
        <f>$C24</f>
        <v>João Paulo Basniak Boese</v>
      </c>
      <c r="N24" s="134"/>
      <c r="O24" s="134"/>
      <c r="P24" s="72"/>
      <c r="Q24" s="133" t="str">
        <f>$B24</f>
        <v>Renascença - PR, 18 de Agosto de 2023.</v>
      </c>
      <c r="R24" s="133"/>
      <c r="S24" s="133"/>
      <c r="T24" s="74"/>
      <c r="U24" s="134" t="str">
        <f>$C24</f>
        <v>João Paulo Basniak Boese</v>
      </c>
      <c r="V24" s="134"/>
      <c r="W24" s="134"/>
      <c r="X24" s="100"/>
      <c r="Y24" s="72"/>
    </row>
    <row r="25" spans="3:25" ht="12.75">
      <c r="C25" s="135" t="str">
        <f>ORÇAMENTO!D28</f>
        <v>Eng. Civil - Crea/PR 134576/D</v>
      </c>
      <c r="D25" s="135"/>
      <c r="E25" s="135"/>
      <c r="M25" s="135" t="str">
        <f>$C25</f>
        <v>Eng. Civil - Crea/PR 134576/D</v>
      </c>
      <c r="N25" s="135"/>
      <c r="O25" s="135"/>
      <c r="P25" s="72"/>
      <c r="Q25" s="72"/>
      <c r="U25" s="135" t="str">
        <f>$C25</f>
        <v>Eng. Civil - Crea/PR 134576/D</v>
      </c>
      <c r="V25" s="135"/>
      <c r="W25" s="135"/>
      <c r="X25" s="101"/>
      <c r="Y25" s="72"/>
    </row>
  </sheetData>
  <sheetProtection/>
  <mergeCells count="45">
    <mergeCell ref="I24:K24"/>
    <mergeCell ref="M24:O24"/>
    <mergeCell ref="M25:O25"/>
    <mergeCell ref="U25:W25"/>
    <mergeCell ref="C24:E24"/>
    <mergeCell ref="C25:E25"/>
    <mergeCell ref="Q24:S24"/>
    <mergeCell ref="U24:W24"/>
    <mergeCell ref="B5:B7"/>
    <mergeCell ref="D5:D7"/>
    <mergeCell ref="E5:E7"/>
    <mergeCell ref="B1:F1"/>
    <mergeCell ref="B2:F2"/>
    <mergeCell ref="B3:F3"/>
    <mergeCell ref="B4:F4"/>
    <mergeCell ref="C5:C7"/>
    <mergeCell ref="F5:F7"/>
    <mergeCell ref="Q1:W1"/>
    <mergeCell ref="Q2:W2"/>
    <mergeCell ref="T5:T7"/>
    <mergeCell ref="U5:U7"/>
    <mergeCell ref="A20:B20"/>
    <mergeCell ref="A21:B21"/>
    <mergeCell ref="A5:A7"/>
    <mergeCell ref="O5:O7"/>
    <mergeCell ref="J5:J7"/>
    <mergeCell ref="K5:K7"/>
    <mergeCell ref="G5:G7"/>
    <mergeCell ref="M5:M7"/>
    <mergeCell ref="H5:H7"/>
    <mergeCell ref="I5:I7"/>
    <mergeCell ref="N5:N7"/>
    <mergeCell ref="I1:O1"/>
    <mergeCell ref="I2:O2"/>
    <mergeCell ref="I3:O3"/>
    <mergeCell ref="I4:O4"/>
    <mergeCell ref="L5:L7"/>
    <mergeCell ref="P5:P7"/>
    <mergeCell ref="V5:V7"/>
    <mergeCell ref="W5:W7"/>
    <mergeCell ref="Q3:W3"/>
    <mergeCell ref="Q4:W4"/>
    <mergeCell ref="Q5:Q7"/>
    <mergeCell ref="R5:R7"/>
    <mergeCell ref="S5:S7"/>
  </mergeCells>
  <printOptions/>
  <pageMargins left="1.6141732283464567" right="1.4173228346456694" top="1.141732283464567" bottom="1.141732283464567" header="0.31496062992125984" footer="0.31496062992125984"/>
  <pageSetup fitToWidth="0" fitToHeight="1" horizontalDpi="600" verticalDpi="600" orientation="landscape" paperSize="9" r:id="rId2"/>
  <colBreaks count="2" manualBreakCount="2">
    <brk id="7" max="24" man="1"/>
    <brk id="16" max="2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1.28125" style="0" customWidth="1"/>
    <col min="2" max="3" width="21.421875" style="13" customWidth="1"/>
    <col min="10" max="10" width="9.57421875" style="12" bestFit="1" customWidth="1"/>
  </cols>
  <sheetData>
    <row r="2" spans="5:7" ht="12.75">
      <c r="E2" t="s">
        <v>31</v>
      </c>
      <c r="G2" t="s">
        <v>32</v>
      </c>
    </row>
    <row r="3" spans="1:10" ht="25.5">
      <c r="A3" s="14" t="s">
        <v>39</v>
      </c>
      <c r="B3" s="13" t="s">
        <v>33</v>
      </c>
      <c r="C3" s="14" t="s">
        <v>40</v>
      </c>
      <c r="D3" t="s">
        <v>34</v>
      </c>
      <c r="E3" t="s">
        <v>35</v>
      </c>
      <c r="F3" t="s">
        <v>36</v>
      </c>
      <c r="G3" t="s">
        <v>37</v>
      </c>
      <c r="H3" t="s">
        <v>38</v>
      </c>
      <c r="I3" s="15" t="s">
        <v>41</v>
      </c>
      <c r="J3" s="12" t="s">
        <v>14</v>
      </c>
    </row>
    <row r="4" spans="1:10" ht="25.5">
      <c r="A4" s="56">
        <v>532600</v>
      </c>
      <c r="B4" s="56" t="s">
        <v>61</v>
      </c>
      <c r="C4" s="14">
        <v>19050</v>
      </c>
      <c r="D4">
        <v>1</v>
      </c>
      <c r="E4">
        <v>0</v>
      </c>
      <c r="F4">
        <v>1</v>
      </c>
      <c r="G4">
        <v>2</v>
      </c>
      <c r="H4">
        <v>2.52</v>
      </c>
      <c r="I4">
        <v>0.225</v>
      </c>
      <c r="J4" s="12">
        <f>ROUND(((D4*E4)+(F4*G4)+H4)*I4,2)</f>
        <v>1.02</v>
      </c>
    </row>
    <row r="5" ht="12.75">
      <c r="J5" s="12">
        <f aca="true" t="shared" si="0" ref="J5:J16">ROUND(((D5*E5)+(F5*G5)+H5)*I5,2)</f>
        <v>0</v>
      </c>
    </row>
    <row r="6" ht="12.75">
      <c r="J6" s="12">
        <f t="shared" si="0"/>
        <v>0</v>
      </c>
    </row>
    <row r="7" spans="1:10" ht="12.75">
      <c r="A7">
        <v>535200</v>
      </c>
      <c r="B7" s="14" t="s">
        <v>67</v>
      </c>
      <c r="C7" s="105">
        <v>19600</v>
      </c>
      <c r="D7" s="106">
        <v>0.56</v>
      </c>
      <c r="E7" s="106">
        <v>29.5</v>
      </c>
      <c r="F7" s="106">
        <v>0.68</v>
      </c>
      <c r="G7" s="106">
        <v>0.5</v>
      </c>
      <c r="H7" s="106"/>
      <c r="I7" s="106">
        <v>0.077</v>
      </c>
      <c r="J7" s="107">
        <f t="shared" si="0"/>
        <v>1.3</v>
      </c>
    </row>
    <row r="8" spans="1:11" ht="12.75">
      <c r="A8">
        <v>535200</v>
      </c>
      <c r="B8" s="14" t="s">
        <v>67</v>
      </c>
      <c r="C8" s="13">
        <v>19600</v>
      </c>
      <c r="D8">
        <v>1</v>
      </c>
      <c r="E8">
        <v>27</v>
      </c>
      <c r="F8">
        <v>1.21</v>
      </c>
      <c r="G8">
        <v>0</v>
      </c>
      <c r="H8">
        <v>2.52</v>
      </c>
      <c r="I8">
        <v>0.077</v>
      </c>
      <c r="J8" s="12">
        <f t="shared" si="0"/>
        <v>2.27</v>
      </c>
      <c r="K8">
        <v>31.6</v>
      </c>
    </row>
    <row r="9" ht="12.75">
      <c r="B9" s="14"/>
    </row>
    <row r="10" ht="12.75">
      <c r="J10" s="12">
        <f t="shared" si="0"/>
        <v>0</v>
      </c>
    </row>
    <row r="11" spans="1:10" ht="25.5">
      <c r="A11">
        <v>521450</v>
      </c>
      <c r="B11" s="14" t="s">
        <v>68</v>
      </c>
      <c r="C11" s="108">
        <v>19550</v>
      </c>
      <c r="D11" s="109">
        <v>0.56</v>
      </c>
      <c r="E11" s="109">
        <v>29.5</v>
      </c>
      <c r="F11" s="109">
        <v>0.68</v>
      </c>
      <c r="G11" s="109">
        <v>0.5</v>
      </c>
      <c r="H11" s="109"/>
      <c r="I11" s="109">
        <v>0.3</v>
      </c>
      <c r="J11" s="110">
        <f>ROUND(((D11*E11)+(F11*G11)+H11)*I11,2)</f>
        <v>5.06</v>
      </c>
    </row>
    <row r="12" spans="1:11" ht="25.5">
      <c r="A12">
        <v>521450</v>
      </c>
      <c r="B12" s="14" t="s">
        <v>68</v>
      </c>
      <c r="C12" s="13">
        <v>19550</v>
      </c>
      <c r="D12">
        <v>1</v>
      </c>
      <c r="E12">
        <v>27</v>
      </c>
      <c r="F12">
        <v>1.21</v>
      </c>
      <c r="G12">
        <v>2</v>
      </c>
      <c r="H12">
        <v>2.52</v>
      </c>
      <c r="I12">
        <v>0.3</v>
      </c>
      <c r="J12" s="12">
        <f>ROUND(((D12*E12)+(F12*G12)+H12)*I12,2)</f>
        <v>9.58</v>
      </c>
      <c r="K12">
        <v>31.6</v>
      </c>
    </row>
    <row r="13" spans="2:10" ht="12.75">
      <c r="B13" s="14"/>
      <c r="J13" s="12">
        <f t="shared" si="0"/>
        <v>0</v>
      </c>
    </row>
    <row r="14" spans="1:10" ht="12.75">
      <c r="A14">
        <v>532650</v>
      </c>
      <c r="B14" s="14" t="s">
        <v>69</v>
      </c>
      <c r="C14" s="108">
        <v>19050</v>
      </c>
      <c r="D14" s="109">
        <v>0.56</v>
      </c>
      <c r="E14" s="109">
        <v>0</v>
      </c>
      <c r="F14" s="109">
        <v>0.68</v>
      </c>
      <c r="G14" s="109"/>
      <c r="H14" s="109"/>
      <c r="I14" s="109">
        <v>0.045</v>
      </c>
      <c r="J14" s="110">
        <f t="shared" si="0"/>
        <v>0</v>
      </c>
    </row>
    <row r="15" spans="2:10" ht="12.75">
      <c r="B15" s="14"/>
      <c r="C15" s="13">
        <v>19050</v>
      </c>
      <c r="D15">
        <v>1</v>
      </c>
      <c r="E15">
        <v>0</v>
      </c>
      <c r="F15">
        <v>1.21</v>
      </c>
      <c r="G15">
        <v>2</v>
      </c>
      <c r="H15">
        <v>2.52</v>
      </c>
      <c r="I15">
        <v>0.045</v>
      </c>
      <c r="J15" s="12">
        <f>ROUND(((D15*E15)+(F15*G15)+H15)*I15,2)</f>
        <v>0.22</v>
      </c>
    </row>
    <row r="16" spans="2:10" ht="12.75">
      <c r="B16" s="14"/>
      <c r="J16" s="12">
        <f t="shared" si="0"/>
        <v>0</v>
      </c>
    </row>
    <row r="17" ht="12.75">
      <c r="B17" s="14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22.00390625" style="95" bestFit="1" customWidth="1"/>
    <col min="2" max="2" width="21.8515625" style="95" customWidth="1"/>
    <col min="3" max="3" width="10.421875" style="95" bestFit="1" customWidth="1"/>
    <col min="4" max="4" width="13.28125" style="95" bestFit="1" customWidth="1"/>
    <col min="5" max="5" width="25.28125" style="95" bestFit="1" customWidth="1"/>
    <col min="6" max="6" width="24.7109375" style="95" bestFit="1" customWidth="1"/>
    <col min="7" max="7" width="19.421875" style="95" bestFit="1" customWidth="1"/>
    <col min="8" max="8" width="27.421875" style="95" bestFit="1" customWidth="1"/>
    <col min="9" max="9" width="29.140625" style="95" bestFit="1" customWidth="1"/>
    <col min="10" max="16384" width="9.140625" style="95" customWidth="1"/>
  </cols>
  <sheetData>
    <row r="1" spans="1:9" ht="21">
      <c r="A1" s="136" t="s">
        <v>76</v>
      </c>
      <c r="B1" s="136"/>
      <c r="C1" s="136"/>
      <c r="D1" s="136"/>
      <c r="E1" s="136"/>
      <c r="F1" s="136"/>
      <c r="G1" s="136"/>
      <c r="H1" s="136"/>
      <c r="I1" s="136"/>
    </row>
    <row r="2" spans="1:9" ht="12.75">
      <c r="A2" s="81" t="s">
        <v>77</v>
      </c>
      <c r="B2" s="81" t="s">
        <v>78</v>
      </c>
      <c r="C2" s="81" t="s">
        <v>79</v>
      </c>
      <c r="D2" s="81" t="s">
        <v>80</v>
      </c>
      <c r="E2" s="81" t="s">
        <v>81</v>
      </c>
      <c r="F2" s="81" t="s">
        <v>82</v>
      </c>
      <c r="G2" s="81" t="s">
        <v>83</v>
      </c>
      <c r="H2" s="81" t="s">
        <v>84</v>
      </c>
      <c r="I2" s="81" t="s">
        <v>85</v>
      </c>
    </row>
    <row r="3" spans="1:9" s="99" customFormat="1" ht="25.5">
      <c r="A3" s="82" t="s">
        <v>86</v>
      </c>
      <c r="B3" s="82" t="s">
        <v>87</v>
      </c>
      <c r="C3" s="97">
        <v>6</v>
      </c>
      <c r="D3" s="83">
        <v>1700</v>
      </c>
      <c r="E3" s="84" t="s">
        <v>95</v>
      </c>
      <c r="F3" s="82" t="s">
        <v>96</v>
      </c>
      <c r="G3" s="82" t="s">
        <v>97</v>
      </c>
      <c r="H3" s="82" t="s">
        <v>98</v>
      </c>
      <c r="I3" s="82" t="s">
        <v>98</v>
      </c>
    </row>
    <row r="4" spans="1:9" ht="12.75">
      <c r="A4" s="82" t="s">
        <v>86</v>
      </c>
      <c r="B4" s="82" t="s">
        <v>89</v>
      </c>
      <c r="C4" s="97">
        <v>30</v>
      </c>
      <c r="D4" s="83">
        <v>20</v>
      </c>
      <c r="E4" s="84" t="s">
        <v>99</v>
      </c>
      <c r="F4" s="84" t="s">
        <v>99</v>
      </c>
      <c r="G4" s="82" t="s">
        <v>88</v>
      </c>
      <c r="H4" s="82" t="s">
        <v>88</v>
      </c>
      <c r="I4" s="82" t="s">
        <v>88</v>
      </c>
    </row>
    <row r="5" spans="4:9" s="96" customFormat="1" ht="12.75">
      <c r="D5" s="98" t="s">
        <v>14</v>
      </c>
      <c r="E5" s="98" t="s">
        <v>100</v>
      </c>
      <c r="F5" s="98" t="s">
        <v>101</v>
      </c>
      <c r="G5" s="98" t="s">
        <v>102</v>
      </c>
      <c r="H5" s="98" t="s">
        <v>102</v>
      </c>
      <c r="I5" s="98" t="s">
        <v>102</v>
      </c>
    </row>
  </sheetData>
  <sheetProtection/>
  <mergeCells count="1">
    <mergeCell ref="A1:I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Licita-Luciane</cp:lastModifiedBy>
  <cp:lastPrinted>2023-08-18T18:33:56Z</cp:lastPrinted>
  <dcterms:created xsi:type="dcterms:W3CDTF">2004-07-12T12:11:30Z</dcterms:created>
  <dcterms:modified xsi:type="dcterms:W3CDTF">2023-10-03T10:53:40Z</dcterms:modified>
  <cp:category/>
  <cp:version/>
  <cp:contentType/>
  <cp:contentStatus/>
</cp:coreProperties>
</file>